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4" rupBuild="10514"/>
  <workbookPr dateCompatibility="0" showInkAnnotation="0" autoCompressPictures="0"/>
  <mc:AlternateContent xmlns:mc="http://schemas.openxmlformats.org/markup-compatibility/2006">
    <mc:Choice Requires="x15">
      <x15ac:absPath xmlns:x15ac="http://schemas.microsoft.com/office/spreadsheetml/2010/11/ac" url="/Users/Eric/Desktop/"/>
    </mc:Choice>
  </mc:AlternateContent>
  <xr:revisionPtr revIDLastSave="0" documentId="13_ncr:9_{927356F2-39CC-2942-A5BF-1278FC8DB774}" xr6:coauthVersionLast="47" xr6:coauthVersionMax="47" xr10:uidLastSave="{00000000-0000-0000-0000-000000000000}"/>
  <bookViews>
    <workbookView xWindow="100" yWindow="500" windowWidth="25600" windowHeight="21780" tabRatio="509" activeTab="1" xr2:uid="{00000000-000D-0000-FFFF-FFFF00000000}"/>
  </bookViews>
  <sheets>
    <sheet name="Control Entry" sheetId="1" r:id="rId1"/>
    <sheet name="Control Card #1" sheetId="2" r:id="rId2"/>
    <sheet name="Control Card #2" sheetId="3" r:id="rId3"/>
    <sheet name="Control Card #3" sheetId="4" r:id="rId4"/>
    <sheet name="Control Card #4" sheetId="5" r:id="rId5"/>
  </sheets>
  <definedNames>
    <definedName name="Address_1" localSheetId="2">#REF!</definedName>
    <definedName name="Address_1" localSheetId="3">#REF!</definedName>
    <definedName name="Address_1" localSheetId="4">#REF!</definedName>
    <definedName name="Address_1">#REF!</definedName>
    <definedName name="Address_2" localSheetId="2">#REF!</definedName>
    <definedName name="Address_2" localSheetId="3">#REF!</definedName>
    <definedName name="Address_2" localSheetId="4">#REF!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2">#REF!</definedName>
    <definedName name="City" localSheetId="3">#REF!</definedName>
    <definedName name="City" localSheetId="4">#REF!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2">'Control Entry'!#REF!</definedName>
    <definedName name="Control_11" localSheetId="3">'Control Entry'!#REF!</definedName>
    <definedName name="Control_11" localSheetId="4">'Control Entry'!#REF!</definedName>
    <definedName name="Control_11">'Control Entry'!#REF!</definedName>
    <definedName name="Control_12" localSheetId="2">'Control Entry'!#REF!</definedName>
    <definedName name="Control_12" localSheetId="3">'Control Entry'!#REF!</definedName>
    <definedName name="Control_12" localSheetId="4">'Control Entry'!#REF!</definedName>
    <definedName name="Control_12">'Control Entry'!#REF!</definedName>
    <definedName name="Control_13" localSheetId="2">'Control Entry'!#REF!</definedName>
    <definedName name="Control_13" localSheetId="3">'Control Entry'!#REF!</definedName>
    <definedName name="Control_13" localSheetId="4">'Control Entry'!#REF!</definedName>
    <definedName name="Control_13">'Control Entry'!#REF!</definedName>
    <definedName name="Control_14" localSheetId="2">'Control Entry'!#REF!</definedName>
    <definedName name="Control_14" localSheetId="3">'Control Entry'!#REF!</definedName>
    <definedName name="Control_14" localSheetId="4">'Control Entry'!#REF!</definedName>
    <definedName name="Control_14">'Control Entry'!#REF!</definedName>
    <definedName name="Control_15" localSheetId="2">'Control Entry'!#REF!</definedName>
    <definedName name="Control_15" localSheetId="3">'Control Entry'!#REF!</definedName>
    <definedName name="Control_15" localSheetId="4">'Control Entry'!#REF!</definedName>
    <definedName name="Control_15">'Control Entry'!#REF!</definedName>
    <definedName name="Control_16" localSheetId="2">'Control Entry'!#REF!</definedName>
    <definedName name="Control_16" localSheetId="3">'Control Entry'!#REF!</definedName>
    <definedName name="Control_16" localSheetId="4">'Control Entry'!#REF!</definedName>
    <definedName name="Control_16">'Control Entry'!#REF!</definedName>
    <definedName name="Control_17" localSheetId="2">'Control Entry'!#REF!</definedName>
    <definedName name="Control_17" localSheetId="3">'Control Entry'!#REF!</definedName>
    <definedName name="Control_17" localSheetId="4">'Control Entry'!#REF!</definedName>
    <definedName name="Control_17">'Control Entry'!#REF!</definedName>
    <definedName name="Control_18" localSheetId="2">'Control Entry'!#REF!</definedName>
    <definedName name="Control_18" localSheetId="3">'Control Entry'!#REF!</definedName>
    <definedName name="Control_18" localSheetId="4">'Control Entry'!#REF!</definedName>
    <definedName name="Control_18">'Control Entry'!#REF!</definedName>
    <definedName name="Control_19" localSheetId="2">'Control Entry'!#REF!</definedName>
    <definedName name="Control_19" localSheetId="3">'Control Entry'!#REF!</definedName>
    <definedName name="Control_19" localSheetId="4">'Control Entry'!#REF!</definedName>
    <definedName name="Control_19">'Control Entry'!#REF!</definedName>
    <definedName name="Control_2">'Control Entry'!$D$16:$O$16</definedName>
    <definedName name="Control_20" localSheetId="2">'Control Entry'!#REF!</definedName>
    <definedName name="Control_20" localSheetId="3">'Control Entry'!#REF!</definedName>
    <definedName name="Control_20" localSheetId="4">'Control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2">#REF!</definedName>
    <definedName name="Country" localSheetId="3">#REF!</definedName>
    <definedName name="Country" localSheetId="4">#REF!</definedName>
    <definedName name="Country">#REF!</definedName>
    <definedName name="Distance">'Control Entry'!$D$15:$D$24</definedName>
    <definedName name="email" localSheetId="2">#REF!</definedName>
    <definedName name="email" localSheetId="3">#REF!</definedName>
    <definedName name="email" localSheetId="4">#REF!</definedName>
    <definedName name="email">#REF!</definedName>
    <definedName name="Establishment_1">'Control Entry'!$F$15:$F$24</definedName>
    <definedName name="Establishment_2">'Control Entry'!$G$15:$G$24</definedName>
    <definedName name="Establishment_3">'Control Entry'!$H$15:$H$24</definedName>
    <definedName name="Fax" localSheetId="2">#REF!</definedName>
    <definedName name="Fax" localSheetId="3">#REF!</definedName>
    <definedName name="Fax" localSheetId="4">#REF!</definedName>
    <definedName name="Fax">#REF!</definedName>
    <definedName name="First_Name" localSheetId="2">#REF!</definedName>
    <definedName name="First_Name" localSheetId="3">#REF!</definedName>
    <definedName name="First_Name" localSheetId="4">#REF!</definedName>
    <definedName name="First_Name">#REF!</definedName>
    <definedName name="Home_telephone" localSheetId="2">#REF!</definedName>
    <definedName name="Home_telephone" localSheetId="3">#REF!</definedName>
    <definedName name="Home_telephone" localSheetId="4">#REF!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 localSheetId="3">#REF!</definedName>
    <definedName name="Initial" localSheetId="4">#REF!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2">#REF!</definedName>
    <definedName name="Postal_Code" localSheetId="3">#REF!</definedName>
    <definedName name="Postal_Code" localSheetId="4">#REF!</definedName>
    <definedName name="Postal_Code">#REF!</definedName>
    <definedName name="_xlnm.Print_Titles" localSheetId="1">'Control Card #1'!$1:$2</definedName>
    <definedName name="_xlnm.Print_Titles" localSheetId="2">'Control Card #2'!$1:$2</definedName>
    <definedName name="_xlnm.Print_Titles" localSheetId="3">'Control Card #3'!$1:$2</definedName>
    <definedName name="_xlnm.Print_Titles" localSheetId="4">'Control Card #4'!$1:$2</definedName>
    <definedName name="Province_State" localSheetId="2">#REF!</definedName>
    <definedName name="Province_State" localSheetId="3">#REF!</definedName>
    <definedName name="Province_State" localSheetId="4">#REF!</definedName>
    <definedName name="Province_State">#REF!</definedName>
    <definedName name="Start_date">'Control Entry'!$B$12</definedName>
    <definedName name="Start_time">'Control Entry'!$B$13</definedName>
    <definedName name="surname" localSheetId="2">#REF!</definedName>
    <definedName name="surname" localSheetId="3">#REF!</definedName>
    <definedName name="surname" localSheetId="4">#REF!</definedName>
    <definedName name="surname">#REF!</definedName>
    <definedName name="Work_telephone" localSheetId="2">#REF!</definedName>
    <definedName name="Work_telephone" localSheetId="3">#REF!</definedName>
    <definedName name="Work_telephone" localSheetId="4">#REF!</definedName>
    <definedName name="Work_telephone">#REF!</definedName>
  </definedNames>
  <calcPr calcId="191029" concurrentCalc="0"/>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http://schemas.openxmlformats.org/spreadsheetml/2006/main" xmlns:mx="http://schemas.microsoft.com/office/mac/excel/2008/main" uri="{7523E5D3-25F3-A5E0-1632-64F254C22452}">
      <mx:ArchID Flags="2"/>
    </ext>
  </extLst>
</workbook>
</file>

<file path=xl/calcChain.xml><?xml version="1.0" encoding="utf-8"?>
<calcChain xmlns="http://purl.oclc.org/ooxml/spreadsheetml/main">
  <c r="F32" i="5" l="1"/>
  <c r="F31" i="5"/>
  <c r="F30" i="5"/>
  <c r="E32" i="5"/>
  <c r="E31" i="5"/>
  <c r="E30" i="5"/>
  <c r="D31" i="5"/>
  <c r="A31" i="5"/>
  <c r="F29" i="5"/>
  <c r="F28" i="5"/>
  <c r="F27" i="5"/>
  <c r="E29" i="5"/>
  <c r="E28" i="5"/>
  <c r="E27" i="5"/>
  <c r="D28" i="5"/>
  <c r="A28" i="5"/>
  <c r="F26" i="5"/>
  <c r="F25" i="5"/>
  <c r="F24" i="5"/>
  <c r="E26" i="5"/>
  <c r="E25" i="5"/>
  <c r="E24" i="5"/>
  <c r="D25" i="5"/>
  <c r="A25" i="5"/>
  <c r="F23" i="5"/>
  <c r="F22" i="5"/>
  <c r="F21" i="5"/>
  <c r="E23" i="5"/>
  <c r="E22" i="5"/>
  <c r="E21" i="5"/>
  <c r="D22" i="5"/>
  <c r="A22" i="5"/>
  <c r="F20" i="5"/>
  <c r="F19" i="5"/>
  <c r="F18" i="5"/>
  <c r="E20" i="5"/>
  <c r="E19" i="5"/>
  <c r="E18" i="5"/>
  <c r="D19" i="5"/>
  <c r="A19" i="5"/>
  <c r="F17" i="5"/>
  <c r="F16" i="5"/>
  <c r="F15" i="5"/>
  <c r="E17" i="5"/>
  <c r="E16" i="5"/>
  <c r="E15" i="5"/>
  <c r="D16" i="5"/>
  <c r="A16" i="5"/>
  <c r="F14" i="5"/>
  <c r="F13" i="5"/>
  <c r="F12" i="5"/>
  <c r="E14" i="5"/>
  <c r="E13" i="5"/>
  <c r="E12" i="5"/>
  <c r="D13" i="5"/>
  <c r="A13" i="5"/>
  <c r="F11" i="5"/>
  <c r="F10" i="5"/>
  <c r="F9" i="5"/>
  <c r="E11" i="5"/>
  <c r="E10" i="5"/>
  <c r="E9" i="5"/>
  <c r="D10" i="5"/>
  <c r="A10" i="5"/>
  <c r="F8" i="5"/>
  <c r="F7" i="5"/>
  <c r="F6" i="5"/>
  <c r="E8" i="5"/>
  <c r="E7" i="5"/>
  <c r="E6" i="5"/>
  <c r="D7" i="5"/>
  <c r="A7" i="5"/>
  <c r="F26" i="4"/>
  <c r="F25" i="4"/>
  <c r="F24" i="4"/>
  <c r="F19" i="4"/>
  <c r="F5" i="5"/>
  <c r="F4" i="5"/>
  <c r="F3" i="5"/>
  <c r="E5" i="4"/>
  <c r="E5" i="5"/>
  <c r="E4" i="5"/>
  <c r="E3" i="5"/>
  <c r="D4" i="5"/>
  <c r="A4" i="5"/>
  <c r="S3" i="5"/>
  <c r="S3" i="4"/>
  <c r="S3" i="3"/>
  <c r="S3" i="2"/>
  <c r="Q33" i="5"/>
  <c r="Q32" i="5"/>
  <c r="S20" i="5"/>
  <c r="L20" i="5"/>
  <c r="L6" i="5"/>
  <c r="R5" i="5"/>
  <c r="P5" i="5"/>
  <c r="L63" i="1"/>
  <c r="L62" i="1"/>
  <c r="L61" i="1"/>
  <c r="L60" i="1"/>
  <c r="L59" i="1"/>
  <c r="L58" i="1"/>
  <c r="L57" i="1"/>
  <c r="L56" i="1"/>
  <c r="L55" i="1"/>
  <c r="M54" i="1"/>
  <c r="L54" i="1"/>
  <c r="Q33" i="4"/>
  <c r="Q32" i="4"/>
  <c r="Q33" i="3"/>
  <c r="Q32" i="3"/>
  <c r="Q33" i="2"/>
  <c r="Q32" i="2"/>
  <c r="M46" i="1"/>
  <c r="M47" i="1"/>
  <c r="M48" i="1"/>
  <c r="M49" i="1"/>
  <c r="M50" i="1"/>
  <c r="M41" i="1"/>
  <c r="M33" i="1"/>
  <c r="M34" i="1"/>
  <c r="M35" i="1"/>
  <c r="M36" i="1"/>
  <c r="M37" i="1"/>
  <c r="M21" i="1"/>
  <c r="M22" i="1"/>
  <c r="M23" i="1"/>
  <c r="M24" i="1"/>
  <c r="M20" i="1"/>
  <c r="S20" i="4"/>
  <c r="L20" i="4"/>
  <c r="S20" i="3"/>
  <c r="L20" i="3"/>
  <c r="S20" i="2"/>
  <c r="L20" i="2"/>
  <c r="F32" i="4"/>
  <c r="F31" i="4"/>
  <c r="F30" i="4"/>
  <c r="E32" i="4"/>
  <c r="E31" i="4"/>
  <c r="E30" i="4"/>
  <c r="D31" i="4"/>
  <c r="A31" i="4"/>
  <c r="F29" i="4"/>
  <c r="F28" i="4"/>
  <c r="F27" i="4"/>
  <c r="E29" i="4"/>
  <c r="E28" i="4"/>
  <c r="E27" i="4"/>
  <c r="D28" i="4"/>
  <c r="A28" i="4"/>
  <c r="E26" i="4"/>
  <c r="E25" i="4"/>
  <c r="E24" i="4"/>
  <c r="D25" i="4"/>
  <c r="A25" i="4"/>
  <c r="F23" i="4"/>
  <c r="F22" i="4"/>
  <c r="F21" i="4"/>
  <c r="E23" i="4"/>
  <c r="E22" i="4"/>
  <c r="E21" i="4"/>
  <c r="D22" i="4"/>
  <c r="A22" i="4"/>
  <c r="F20" i="4"/>
  <c r="F18" i="4"/>
  <c r="E20" i="4"/>
  <c r="E19" i="4"/>
  <c r="E18" i="4"/>
  <c r="D19" i="4"/>
  <c r="A19" i="4"/>
  <c r="F17" i="4"/>
  <c r="F16" i="4"/>
  <c r="F15" i="4"/>
  <c r="E17" i="4"/>
  <c r="E16" i="4"/>
  <c r="E15" i="4"/>
  <c r="D16" i="4"/>
  <c r="A16" i="4"/>
  <c r="F13" i="4"/>
  <c r="F14" i="4"/>
  <c r="F12" i="4"/>
  <c r="E14" i="4"/>
  <c r="E13" i="4"/>
  <c r="E12" i="4"/>
  <c r="D13" i="4"/>
  <c r="A13" i="4"/>
  <c r="A7" i="2"/>
  <c r="F11" i="4"/>
  <c r="F10" i="4"/>
  <c r="F9" i="4"/>
  <c r="E11" i="4"/>
  <c r="E10" i="4"/>
  <c r="E9" i="4"/>
  <c r="D10" i="4"/>
  <c r="A10" i="4"/>
  <c r="F8" i="4"/>
  <c r="F7" i="4"/>
  <c r="F6" i="4"/>
  <c r="E8" i="4"/>
  <c r="E7" i="4"/>
  <c r="E6" i="4"/>
  <c r="D7" i="4"/>
  <c r="A7" i="4"/>
  <c r="F5" i="4"/>
  <c r="F4" i="4"/>
  <c r="F3" i="4"/>
  <c r="E4" i="4"/>
  <c r="E3" i="4"/>
  <c r="D4" i="4"/>
  <c r="A4" i="4"/>
  <c r="L50" i="1"/>
  <c r="L49" i="1"/>
  <c r="L48" i="1"/>
  <c r="L47" i="1"/>
  <c r="L46" i="1"/>
  <c r="L45" i="1"/>
  <c r="L44" i="1"/>
  <c r="L43" i="1"/>
  <c r="L42" i="1"/>
  <c r="L41" i="1"/>
  <c r="L6" i="4"/>
  <c r="R5" i="4"/>
  <c r="P5" i="4"/>
  <c r="E8" i="3"/>
  <c r="E7" i="3"/>
  <c r="E5" i="3"/>
  <c r="F5" i="2"/>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5" i="1"/>
  <c r="N15" i="1"/>
  <c r="L37" i="1"/>
  <c r="L36" i="1"/>
  <c r="L35" i="1"/>
  <c r="L34" i="1"/>
  <c r="L33" i="1"/>
  <c r="L32" i="1"/>
  <c r="L31" i="1"/>
  <c r="L30" i="1"/>
  <c r="L29" i="1"/>
  <c r="L28"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C6" i="1"/>
  <c r="E4" i="3"/>
  <c r="E3" i="3"/>
  <c r="D31" i="3"/>
  <c r="D28" i="3"/>
  <c r="D25" i="3"/>
  <c r="D22" i="3"/>
  <c r="D19" i="3"/>
  <c r="D16" i="3"/>
  <c r="D13" i="3"/>
  <c r="D10" i="3"/>
  <c r="D7" i="3"/>
  <c r="D4" i="3"/>
  <c r="A31" i="3"/>
  <c r="A28" i="3"/>
  <c r="A25" i="3"/>
  <c r="A22" i="3"/>
  <c r="A19" i="3"/>
  <c r="A16" i="3"/>
  <c r="A13" i="3"/>
  <c r="A10" i="3"/>
  <c r="A7" i="3"/>
  <c r="A4" i="3"/>
  <c r="L24" i="1"/>
  <c r="L23" i="1"/>
  <c r="L22" i="1"/>
  <c r="L21" i="1"/>
  <c r="L20" i="1"/>
  <c r="L19" i="1"/>
  <c r="L18" i="1"/>
  <c r="L17" i="1"/>
  <c r="L16" i="1"/>
  <c r="L6" i="3"/>
  <c r="R5" i="3"/>
  <c r="P5" i="3"/>
  <c r="L6" i="2"/>
  <c r="R5" i="2"/>
  <c r="P5"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O50" i="1"/>
  <c r="N50" i="1"/>
  <c r="N61" i="1"/>
  <c r="N60" i="1"/>
  <c r="N59" i="1"/>
  <c r="N63" i="1"/>
  <c r="N58" i="1"/>
  <c r="N62" i="1"/>
  <c r="M63" i="1"/>
  <c r="O63" i="1"/>
  <c r="M61" i="1"/>
  <c r="O61" i="1"/>
  <c r="M59" i="1"/>
  <c r="O59" i="1"/>
  <c r="M62" i="1"/>
  <c r="O62" i="1"/>
  <c r="M60" i="1"/>
  <c r="O60" i="1"/>
  <c r="M58" i="1"/>
  <c r="O58" i="1"/>
  <c r="M28" i="1"/>
  <c r="B7" i="1"/>
  <c r="M4" i="5"/>
  <c r="M57" i="1"/>
  <c r="O57" i="1"/>
  <c r="M55" i="1"/>
  <c r="O55" i="1"/>
  <c r="M56" i="1"/>
  <c r="O56" i="1"/>
  <c r="N56" i="1"/>
  <c r="N57" i="1"/>
  <c r="N55" i="1"/>
  <c r="O54" i="1"/>
  <c r="N54" i="1"/>
  <c r="M4" i="3"/>
  <c r="M42" i="1"/>
  <c r="M31" i="1"/>
  <c r="M16" i="1"/>
  <c r="O16" i="1"/>
  <c r="M43" i="1"/>
  <c r="O43" i="1"/>
  <c r="M32" i="1"/>
  <c r="M19" i="1"/>
  <c r="M44" i="1"/>
  <c r="O44" i="1"/>
  <c r="M29" i="1"/>
  <c r="M18" i="1"/>
  <c r="O18" i="1"/>
  <c r="M45" i="1"/>
  <c r="M30" i="1"/>
  <c r="M17" i="1"/>
  <c r="O17" i="1"/>
  <c r="O46" i="1"/>
  <c r="O45" i="1"/>
  <c r="O47" i="1"/>
  <c r="O48" i="1"/>
  <c r="O49" i="1"/>
  <c r="N48" i="1"/>
  <c r="N42" i="1"/>
  <c r="N47" i="1"/>
  <c r="N43" i="1"/>
  <c r="N45" i="1"/>
  <c r="N49" i="1"/>
  <c r="N46" i="1"/>
  <c r="N44" i="1"/>
  <c r="O42" i="1"/>
  <c r="N41" i="1"/>
  <c r="O41" i="1"/>
  <c r="M4" i="4"/>
  <c r="M15" i="1"/>
  <c r="O15" i="1"/>
  <c r="C3" i="2"/>
  <c r="N31" i="1"/>
  <c r="B4" i="2"/>
  <c r="O19" i="1"/>
  <c r="C17" i="2"/>
  <c r="N18" i="1"/>
  <c r="B14" i="2"/>
  <c r="O23" i="1"/>
  <c r="C27" i="2"/>
  <c r="N28" i="1"/>
  <c r="N34" i="1"/>
  <c r="N22" i="1"/>
  <c r="B25" i="2"/>
  <c r="O34" i="1"/>
  <c r="B3" i="2"/>
  <c r="O20" i="1"/>
  <c r="O22" i="1"/>
  <c r="C26" i="2"/>
  <c r="O33" i="1"/>
  <c r="B5" i="2"/>
  <c r="N17" i="1"/>
  <c r="B11" i="2"/>
  <c r="N21" i="1"/>
  <c r="B22" i="2"/>
  <c r="N24" i="1"/>
  <c r="B31" i="2"/>
  <c r="N35" i="1"/>
  <c r="O37" i="1"/>
  <c r="N37" i="1"/>
  <c r="O24" i="1"/>
  <c r="C31" i="2"/>
  <c r="N16" i="1"/>
  <c r="B6" i="2"/>
  <c r="N20" i="1"/>
  <c r="B19" i="2"/>
  <c r="O21" i="1"/>
  <c r="C23" i="2"/>
  <c r="N29" i="1"/>
  <c r="N32" i="1"/>
  <c r="N19" i="1"/>
  <c r="B17" i="2"/>
  <c r="N23" i="1"/>
  <c r="B27" i="2"/>
  <c r="N30" i="1"/>
  <c r="N33" i="1"/>
  <c r="N36" i="1"/>
  <c r="O30" i="1"/>
  <c r="O29" i="1"/>
  <c r="M4" i="2"/>
  <c r="O36" i="1"/>
  <c r="O32" i="1"/>
  <c r="O28" i="1"/>
  <c r="O35" i="1"/>
  <c r="O31" i="1"/>
  <c r="C27" i="5"/>
  <c r="C29" i="5"/>
  <c r="C28" i="5"/>
  <c r="B29" i="5"/>
  <c r="B28" i="5"/>
  <c r="B27" i="5"/>
  <c r="B22" i="5"/>
  <c r="B21" i="5"/>
  <c r="B23" i="5"/>
  <c r="C20" i="5"/>
  <c r="C19" i="5"/>
  <c r="C18" i="5"/>
  <c r="B25" i="5"/>
  <c r="B24" i="5"/>
  <c r="B26" i="5"/>
  <c r="C26" i="5"/>
  <c r="C25" i="5"/>
  <c r="C24" i="5"/>
  <c r="C21" i="5"/>
  <c r="C23" i="5"/>
  <c r="C22" i="5"/>
  <c r="C31" i="5"/>
  <c r="C30" i="5"/>
  <c r="C32" i="5"/>
  <c r="B19" i="5"/>
  <c r="B18" i="5"/>
  <c r="B20" i="5"/>
  <c r="B32" i="5"/>
  <c r="B31" i="5"/>
  <c r="B30" i="5"/>
  <c r="B8" i="5"/>
  <c r="B7" i="5"/>
  <c r="B6" i="5"/>
  <c r="B14" i="5"/>
  <c r="B13" i="5"/>
  <c r="B12" i="5"/>
  <c r="C7" i="5"/>
  <c r="C8" i="5"/>
  <c r="C6" i="5"/>
  <c r="B15" i="5"/>
  <c r="B17" i="5"/>
  <c r="B16" i="5"/>
  <c r="B9" i="5"/>
  <c r="B10" i="5"/>
  <c r="B11" i="5"/>
  <c r="C13" i="5"/>
  <c r="C12" i="5"/>
  <c r="C14" i="5"/>
  <c r="C16" i="5"/>
  <c r="C15" i="5"/>
  <c r="C17" i="5"/>
  <c r="C10" i="5"/>
  <c r="C9" i="5"/>
  <c r="C11" i="5"/>
  <c r="B4" i="5"/>
  <c r="B3" i="5"/>
  <c r="B5" i="5"/>
  <c r="B31" i="4"/>
  <c r="B30" i="4"/>
  <c r="B32" i="4"/>
  <c r="C5" i="5"/>
  <c r="C3" i="5"/>
  <c r="C4" i="5"/>
  <c r="C31" i="4"/>
  <c r="C30" i="4"/>
  <c r="C32" i="4"/>
  <c r="B13" i="4"/>
  <c r="B12" i="4"/>
  <c r="B14" i="4"/>
  <c r="B29" i="4"/>
  <c r="B28" i="4"/>
  <c r="B27" i="4"/>
  <c r="C15" i="4"/>
  <c r="C17" i="4"/>
  <c r="C16" i="4"/>
  <c r="B23" i="4"/>
  <c r="B22" i="4"/>
  <c r="B21" i="4"/>
  <c r="B17" i="4"/>
  <c r="B16" i="4"/>
  <c r="B15" i="4"/>
  <c r="B25" i="4"/>
  <c r="B24" i="4"/>
  <c r="B26" i="4"/>
  <c r="C29" i="4"/>
  <c r="C28" i="4"/>
  <c r="C27" i="4"/>
  <c r="C21" i="4"/>
  <c r="C23" i="4"/>
  <c r="C22" i="4"/>
  <c r="C4" i="2"/>
  <c r="C14" i="4"/>
  <c r="C13" i="4"/>
  <c r="C12" i="4"/>
  <c r="B19" i="4"/>
  <c r="B18" i="4"/>
  <c r="B20" i="4"/>
  <c r="C20" i="4"/>
  <c r="C19" i="4"/>
  <c r="C18" i="4"/>
  <c r="C26" i="4"/>
  <c r="C25" i="4"/>
  <c r="C24" i="4"/>
  <c r="C8" i="4"/>
  <c r="C7" i="4"/>
  <c r="C6" i="4"/>
  <c r="C10" i="4"/>
  <c r="C9" i="4"/>
  <c r="C11" i="4"/>
  <c r="B8" i="4"/>
  <c r="B7" i="4"/>
  <c r="B6" i="4"/>
  <c r="B9" i="4"/>
  <c r="B11" i="4"/>
  <c r="B10" i="4"/>
  <c r="B5" i="4"/>
  <c r="B4" i="4"/>
  <c r="B3" i="4"/>
  <c r="C3" i="4"/>
  <c r="C5" i="4"/>
  <c r="C4" i="4"/>
  <c r="C19" i="3"/>
  <c r="B21" i="3"/>
  <c r="B29" i="3"/>
  <c r="B6" i="3"/>
  <c r="B26" i="3"/>
  <c r="B5" i="3"/>
  <c r="B11" i="3"/>
  <c r="C23" i="3"/>
  <c r="B32" i="3"/>
  <c r="B16" i="3"/>
  <c r="C31" i="3"/>
  <c r="C5" i="2"/>
  <c r="B19" i="3"/>
  <c r="B14" i="3"/>
  <c r="B25" i="3"/>
  <c r="C16" i="2"/>
  <c r="B13" i="3"/>
  <c r="B12" i="3"/>
  <c r="B21" i="2"/>
  <c r="B26" i="2"/>
  <c r="C15" i="2"/>
  <c r="C30" i="3"/>
  <c r="B3" i="3"/>
  <c r="C25" i="2"/>
  <c r="B8" i="2"/>
  <c r="B12" i="2"/>
  <c r="B13" i="2"/>
  <c r="B22" i="3"/>
  <c r="B30" i="3"/>
  <c r="B27" i="3"/>
  <c r="B8" i="3"/>
  <c r="C29" i="2"/>
  <c r="B18" i="3"/>
  <c r="B29" i="2"/>
  <c r="B15" i="2"/>
  <c r="B31" i="3"/>
  <c r="B18" i="2"/>
  <c r="B10" i="3"/>
  <c r="B32" i="2"/>
  <c r="C28" i="2"/>
  <c r="C24" i="2"/>
  <c r="C30" i="2"/>
  <c r="B20" i="2"/>
  <c r="C22" i="3"/>
  <c r="B24" i="3"/>
  <c r="B28" i="3"/>
  <c r="B7" i="3"/>
  <c r="B4" i="3"/>
  <c r="B16" i="2"/>
  <c r="B7" i="2"/>
  <c r="C19" i="2"/>
  <c r="C18" i="2"/>
  <c r="C20" i="2"/>
  <c r="C13" i="2"/>
  <c r="C12" i="2"/>
  <c r="C14" i="2"/>
  <c r="B23" i="3"/>
  <c r="B9" i="2"/>
  <c r="B30" i="2"/>
  <c r="C32" i="2"/>
  <c r="B10" i="2"/>
  <c r="B9" i="3"/>
  <c r="B24" i="2"/>
  <c r="C21" i="3"/>
  <c r="C18" i="3"/>
  <c r="B20" i="3"/>
  <c r="C9" i="2"/>
  <c r="C10" i="2"/>
  <c r="B28" i="2"/>
  <c r="B23" i="2"/>
  <c r="B17" i="3"/>
  <c r="C8" i="2"/>
  <c r="C7" i="2"/>
  <c r="C22" i="2"/>
  <c r="C21" i="2"/>
  <c r="C11" i="2"/>
  <c r="C20" i="3"/>
  <c r="B15" i="3"/>
  <c r="C32" i="3"/>
  <c r="C6" i="2"/>
  <c r="C6" i="3"/>
  <c r="C7" i="3"/>
  <c r="C8" i="3"/>
  <c r="C11" i="3"/>
  <c r="C9" i="3"/>
  <c r="C10" i="3"/>
  <c r="C13" i="3"/>
  <c r="C14" i="3"/>
  <c r="C12" i="3"/>
  <c r="C4" i="3"/>
  <c r="C5" i="3"/>
  <c r="C3" i="3"/>
  <c r="C25" i="3"/>
  <c r="C26" i="3"/>
  <c r="C24" i="3"/>
  <c r="C15" i="3"/>
  <c r="C16" i="3"/>
  <c r="C17" i="3"/>
  <c r="C27" i="3"/>
  <c r="C28" i="3"/>
  <c r="C29" i="3"/>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Stephen Hinde</author>
    <author>A satisfied Microsoft Office user</author>
  </authors>
  <commentList>
    <comment ref="B4" authorId="0" shapeId="1025" xr:uid="{4563209B-AACD-704D-A715-734D9228E28F}">
      <text>
        <r>
          <rPr>
            <b/>
            <sz val="10"/>
            <color rgb="FF000000"/>
            <rFont val="Tahoma"/>
            <family val="2"/>
          </rPr>
          <t>Stephen Hinde:</t>
        </r>
        <r>
          <rPr>
            <sz val="10"/>
            <color rgb="FF000000"/>
            <rFont val="Tahoma"/>
            <family val="2"/>
          </rPr>
          <t xml:space="preserve">Revision date of the brevet details on this sheet
</t>
        </r>
      </text>
      <mc:AlternateContent xmlns:mc="http://schemas.openxmlformats.org/markup-compatibility/2006">
        <mc:Choice Requires="v"/>
        <mc:Fallback>
          <commentPr defaultSize="0" autoFill="0" autoLine="0">
            <anchor>
              <from>
                <xdr:col>3</xdr:col>
                <xdr:colOff>165100</xdr:colOff>
                <xdr:row>2</xdr:row>
                <xdr:rowOff>38100</xdr:rowOff>
              </from>
              <to>
                <xdr:col>4</xdr:col>
                <xdr:colOff>838200</xdr:colOff>
                <xdr:row>6</xdr:row>
                <xdr:rowOff>165100</xdr:rowOff>
              </to>
            </anchor>
          </commentPr>
        </mc:Fallback>
      </mc:AlternateContent>
    </comment>
    <comment ref="B6" authorId="0" shapeId="1026"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mc:AlternateContent xmlns:mc="http://schemas.openxmlformats.org/markup-compatibility/2006">
        <mc:Choice Requires="v"/>
        <mc:Fallback>
          <commentPr defaultSize="0" autoFill="0" autoLine="0">
            <anchor>
              <from>
                <xdr:col>3</xdr:col>
                <xdr:colOff>165100</xdr:colOff>
                <xdr:row>4</xdr:row>
                <xdr:rowOff>38100</xdr:rowOff>
              </from>
              <to>
                <xdr:col>4</xdr:col>
                <xdr:colOff>825500</xdr:colOff>
                <xdr:row>7</xdr:row>
                <xdr:rowOff>25400</xdr:rowOff>
              </to>
            </anchor>
          </commentPr>
        </mc:Fallback>
      </mc:AlternateContent>
    </comment>
    <comment ref="B7" authorId="1" shapeId="1027" xr:uid="{00000000-0006-0000-0000-000002000000}">
      <text>
        <r>
          <rPr>
            <sz val="8"/>
            <color rgb="FF000000"/>
            <rFont val="Tahoma"/>
            <family val="2"/>
          </rPr>
          <t>Autocalculated based on ACP specified times</t>
        </r>
      </text>
      <mc:AlternateContent xmlns:mc="http://schemas.openxmlformats.org/markup-compatibility/2006">
        <mc:Choice Requires="v"/>
        <mc:Fallback>
          <commentPr defaultSize="0" autoFill="0" autoLine="0">
            <anchor>
              <from>
                <xdr:col>3</xdr:col>
                <xdr:colOff>165100</xdr:colOff>
                <xdr:row>5</xdr:row>
                <xdr:rowOff>76200</xdr:rowOff>
              </from>
              <to>
                <xdr:col>4</xdr:col>
                <xdr:colOff>927100</xdr:colOff>
                <xdr:row>7</xdr:row>
                <xdr:rowOff>114300</xdr:rowOff>
              </to>
            </anchor>
          </commentPr>
        </mc:Fallback>
      </mc:AlternateContent>
    </comment>
    <comment ref="B9" authorId="0" shapeId="1028"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mc:AlternateContent xmlns:mc="http://schemas.openxmlformats.org/markup-compatibility/2006">
        <mc:Choice Requires="v"/>
        <mc:Fallback>
          <commentPr defaultSize="0" autoFill="0" autoLine="0">
            <anchor>
              <from>
                <xdr:col>3</xdr:col>
                <xdr:colOff>165100</xdr:colOff>
                <xdr:row>7</xdr:row>
                <xdr:rowOff>114300</xdr:rowOff>
              </from>
              <to>
                <xdr:col>4</xdr:col>
                <xdr:colOff>825500</xdr:colOff>
                <xdr:row>12</xdr:row>
                <xdr:rowOff>203200</xdr:rowOff>
              </to>
            </anchor>
          </commentPr>
        </mc:Fallback>
      </mc:AlternateContent>
    </comment>
    <comment ref="B10" authorId="0" shapeId="1029"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mc:AlternateContent xmlns:mc="http://schemas.openxmlformats.org/markup-compatibility/2006">
        <mc:Choice Requires="v"/>
        <mc:Fallback>
          <commentPr defaultSize="0" autoFill="0" autoLine="0">
            <anchor>
              <from>
                <xdr:col>3</xdr:col>
                <xdr:colOff>165100</xdr:colOff>
                <xdr:row>7</xdr:row>
                <xdr:rowOff>63500</xdr:rowOff>
              </from>
              <to>
                <xdr:col>4</xdr:col>
                <xdr:colOff>825500</xdr:colOff>
                <xdr:row>12</xdr:row>
                <xdr:rowOff>25400</xdr:rowOff>
              </to>
            </anchor>
          </commentPr>
        </mc:Fallback>
      </mc:AlternateContent>
    </comment>
    <comment ref="B12" authorId="0" shapeId="103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mc:AlternateContent xmlns:mc="http://schemas.openxmlformats.org/markup-compatibility/2006">
        <mc:Choice Requires="v"/>
        <mc:Fallback>
          <commentPr defaultSize="0" autoFill="0" autoLine="0">
            <anchor>
              <from>
                <xdr:col>3</xdr:col>
                <xdr:colOff>165100</xdr:colOff>
                <xdr:row>8</xdr:row>
                <xdr:rowOff>127000</xdr:rowOff>
              </from>
              <to>
                <xdr:col>4</xdr:col>
                <xdr:colOff>825500</xdr:colOff>
                <xdr:row>14</xdr:row>
                <xdr:rowOff>127000</xdr:rowOff>
              </to>
            </anchor>
          </commentPr>
        </mc:Fallback>
      </mc:AlternateContent>
    </comment>
    <comment ref="B13" authorId="0" shapeId="1031"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mc:AlternateContent xmlns:mc="http://schemas.openxmlformats.org/markup-compatibility/2006">
        <mc:Choice Requires="v"/>
        <mc:Fallback>
          <commentPr defaultSize="0" autoFill="0" autoLine="0">
            <anchor>
              <from>
                <xdr:col>3</xdr:col>
                <xdr:colOff>165100</xdr:colOff>
                <xdr:row>11</xdr:row>
                <xdr:rowOff>88900</xdr:rowOff>
              </from>
              <to>
                <xdr:col>4</xdr:col>
                <xdr:colOff>838200</xdr:colOff>
                <xdr:row>14</xdr:row>
                <xdr:rowOff>203200</xdr:rowOff>
              </to>
            </anchor>
          </commentPr>
        </mc:Fallback>
      </mc:AlternateContent>
    </comment>
  </commentList>
</comments>
</file>

<file path=xl/sharedStrings.xml><?xml version="1.0" encoding="utf-8"?>
<sst xmlns="http://purl.oclc.org/ooxml/spreadsheetml/main" count="432" uniqueCount="136">
  <si>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</si>
  <si>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</si>
  <si>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</si>
  <si>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</si>
  <si>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</si>
  <si>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</si>
  <si>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</si>
  <si>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</si>
  <si>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</si>
  <si>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</si>
  <si>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</si>
  <si>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</si>
  <si>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</si>
  <si>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</si>
  <si>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</si>
  <si>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</si>
  <si>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</si>
  <si>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</si>
  <si>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</si>
  <si>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</si>
  <si>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</si>
  <si>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</si>
  <si>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</si>
  <si>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</si>
  <si>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</si>
  <si>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</si>
  <si>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</si>
  <si>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</si>
  <si>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</si>
  <si>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</si>
  <si>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</si>
  <si>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</si>
  <si>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</si>
  <si>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</si>
  <si>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</si>
  <si>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</si>
  <si>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</si>
  <si>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</si>
  <si>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</si>
  <si>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</si>
  <si>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</si>
  <si>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</si>
  <si>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</si>
  <si>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</si>
  <si>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</si>
  <si>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</si>
  <si>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</si>
  <si>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</si>
  <si>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</si>
  <si>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</si>
  <si>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</si>
  <si>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</si>
  <si>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</si>
  <si>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</si>
  <si>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</si>
  <si>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</si>
  <si>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</si>
  <si>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</si>
  <si>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</si>
  <si>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</si>
  <si>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</si>
  <si>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</si>
  <si>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</si>
  <si>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</si>
  <si>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</si>
  <si>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</si>
  <si>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</si>
  <si>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</si>
  <si>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</si>
  <si>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Fill in the control distance.  The opening and closing times will be automatically calculated based on the start time and the brevet distance.  If you need more than 10 controls, use card #2, otherwise leave that section blank.</t>
  </si>
  <si>
    <t>When using information controls, you can put your question in the Signature/Answer section eg Sig/Ans.1 Sign on main door  Sig/Ans. 2  This week's special is?  Sig/Ans. 3 ________________</t>
  </si>
  <si>
    <t>Control Card #1 Information Control Question (optional)</t>
  </si>
  <si>
    <t>Control Card #2 Information Control Question (optional)</t>
  </si>
  <si>
    <t xml:space="preserve">Control Card </t>
  </si>
  <si>
    <r>
      <t xml:space="preserve">At each control, please have signed or </t>
    </r>
    <r>
      <rPr>
        <b/>
        <i/>
        <sz val="16"/>
        <rFont val="Arial"/>
        <family val="2"/>
      </rPr>
      <t>answer question</t>
    </r>
    <r>
      <rPr>
        <i/>
        <sz val="16"/>
        <rFont val="Arial"/>
        <family val="2"/>
      </rPr>
      <t xml:space="preserve"> and</t>
    </r>
    <r>
      <rPr>
        <b/>
        <i/>
        <sz val="16"/>
        <rFont val="Arial"/>
        <family val="2"/>
      </rPr>
      <t xml:space="preserve"> note time of day</t>
    </r>
  </si>
  <si>
    <t>Enter the start time.  This will be the official ACP listed start time found on the event page, unless a ride window has been enabled.</t>
  </si>
  <si>
    <t>Enter the start date.  This will be the same as the schedule date, exceot for pre-rides or unless a ride window has been enabled.</t>
  </si>
  <si>
    <t>Control Card #2</t>
  </si>
  <si>
    <t>Control Card #3 Information Control Question (optional)</t>
  </si>
  <si>
    <t>Control Card #3</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</si>
  <si>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</si>
  <si>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</si>
  <si>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</si>
  <si>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DO NOT DELETE OR MOVE ROWS OR COLUMNS (delete contents of cells only)</t>
  </si>
  <si>
    <t>Fill in the Locale (city) for each control.  Establishment 1, 2, and 3 can be used to describe the control itself eg Locale HOPE  Est.1 Dairy Queen Est.2 817 Water Ave Est. 3 (left blank)</t>
  </si>
  <si>
    <t>Scroll right to see further instructions</t>
  </si>
  <si>
    <t xml:space="preserve">Card Revised:  </t>
  </si>
  <si>
    <t>Control Card #4</t>
  </si>
  <si>
    <t>Control Card #4 Information Control Question (optional)</t>
  </si>
  <si>
    <t>You can create 4 control cards  (upto 40 controls) for one event, or 4 control cards (up to 10 controls) with different start loctions for a single event, or 2 sets of 2 control cards.  Control Card #1 will only show '#1' if a distance, not zero, is entered into the first distance box for Control Card #2.  Similarly for Control Card #3 and Control Card #4.  If CC#3 starts at distance 0 and CC#4 has a distance greater than 0, then CC#3 will display as CC#1 and CC#4 will display as CC#2.  This allows for 2 cards for start location 1 and two cards for start location 2.</t>
  </si>
  <si>
    <t>SIGN HERE AND RECORD RESULTS ON CARD #1</t>
  </si>
  <si>
    <t>North Saanich</t>
  </si>
  <si>
    <t>Metchosin</t>
  </si>
  <si>
    <t>Victoria</t>
  </si>
  <si>
    <t>Discovery Coffee</t>
  </si>
  <si>
    <t>1001 Blanshard St</t>
  </si>
  <si>
    <t>Tsehum Harbour Park Bike stand</t>
  </si>
  <si>
    <t>Brentwood Bay</t>
  </si>
  <si>
    <t>Mill Bay Ferry</t>
  </si>
  <si>
    <t>Ferry ticket or self-sign if staff are busy</t>
  </si>
  <si>
    <t>Nanaimo</t>
  </si>
  <si>
    <t>Departure Bay Beach</t>
  </si>
  <si>
    <t>Beach access ramp (at crosswalk)</t>
  </si>
  <si>
    <t>Buckley Bay</t>
  </si>
  <si>
    <t>Buckley Bay Convenience Store</t>
  </si>
  <si>
    <t>Self-sign if closed</t>
  </si>
  <si>
    <t>Comox</t>
  </si>
  <si>
    <t>Powell River Ferry</t>
  </si>
  <si>
    <t>Earl's Cove Ferry</t>
  </si>
  <si>
    <t>Photo</t>
  </si>
  <si>
    <t>Halfmoon Bay</t>
  </si>
  <si>
    <t>Eureka Pl street sign</t>
  </si>
  <si>
    <t>Gibsons</t>
  </si>
  <si>
    <t>Secret Beach Park</t>
  </si>
  <si>
    <t>Trailhead parking lot</t>
  </si>
  <si>
    <t>Langdale</t>
  </si>
  <si>
    <t>Powell River (Saltery Bay)</t>
  </si>
  <si>
    <t>Horseshoe Bay Ferry</t>
  </si>
  <si>
    <t>Annacis Channel West Bridge</t>
  </si>
  <si>
    <t>Photo of Annacis Channel</t>
  </si>
  <si>
    <t>Tsawwassen</t>
  </si>
  <si>
    <t>Ferry Terminal</t>
  </si>
  <si>
    <t>Saanich</t>
  </si>
  <si>
    <t>University of Victoria Directory Sign</t>
  </si>
  <si>
    <t>Finnerty Road (pull out by bus stops)</t>
  </si>
  <si>
    <t>Metchosin Country Store</t>
  </si>
  <si>
    <t>4384 Metchosin Rd</t>
  </si>
  <si>
    <t>Esquimalt</t>
  </si>
  <si>
    <t xml:space="preserve">Saxe Point </t>
  </si>
  <si>
    <t>Fraser Street, End of road</t>
  </si>
  <si>
    <t>Oak Bay</t>
  </si>
  <si>
    <t>The Windsor Café</t>
  </si>
  <si>
    <t>2540 Windsor Rd</t>
  </si>
  <si>
    <t>Richmond/ Delta</t>
  </si>
  <si>
    <t>Permanent: 5-Ferries 600</t>
  </si>
  <si>
    <t>Perm 235</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</si>
</sst>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3"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20"/>
      <color theme="0" tint="-0.249977111117893"/>
      <name val="Impact"/>
      <family val="2"/>
    </font>
    <font>
      <sz val="16"/>
      <color rgb="FFFF0000"/>
      <name val="Arial"/>
      <family val="2"/>
    </font>
    <font>
      <sz val="9"/>
      <name val="Arial"/>
      <family val="2"/>
    </font>
    <font>
      <sz val="11"/>
      <name val="Arial Narrow"/>
      <family val="2"/>
    </font>
  </fonts>
  <fills count="3">
    <fill>
      <patternFill patternType="none"/>
    </fill>
    <fill>
      <patternFill patternType="gray125"/>
    </fill>
    <fill>
      <patternFill patternType="solid">
        <fgColor indexed="22"/>
        <bgColor indexed="64"/>
      </patternFill>
    </fill>
  </fills>
  <borders count="30">
    <border>
      <start/>
      <end/>
      <top/>
      <bottom/>
      <diagonal/>
    </border>
    <border>
      <start style="medium">
        <color auto="1"/>
      </start>
      <end style="medium">
        <color auto="1"/>
      </end>
      <top style="medium">
        <color auto="1"/>
      </top>
      <bottom style="thin">
        <color auto="1"/>
      </bottom>
      <diagonal/>
    </border>
    <border>
      <start/>
      <end style="medium">
        <color auto="1"/>
      </end>
      <top style="medium">
        <color auto="1"/>
      </top>
      <bottom style="thin">
        <color auto="1"/>
      </bottom>
      <diagonal/>
    </border>
    <border>
      <start style="medium">
        <color auto="1"/>
      </start>
      <end style="medium">
        <color auto="1"/>
      </end>
      <top/>
      <bottom style="thin">
        <color auto="1"/>
      </bottom>
      <diagonal/>
    </border>
    <border>
      <start/>
      <end style="medium">
        <color auto="1"/>
      </end>
      <top/>
      <bottom style="thin">
        <color auto="1"/>
      </bottom>
      <diagonal/>
    </border>
    <border>
      <start/>
      <end/>
      <top style="medium">
        <color auto="1"/>
      </top>
      <bottom style="medium">
        <color auto="1"/>
      </bottom>
      <diagonal/>
    </border>
    <border>
      <start style="medium">
        <color auto="1"/>
      </start>
      <end/>
      <top/>
      <bottom/>
      <diagonal/>
    </border>
    <border>
      <start style="medium">
        <color auto="1"/>
      </start>
      <end style="medium">
        <color auto="1"/>
      </end>
      <top/>
      <bottom style="medium">
        <color auto="1"/>
      </bottom>
      <diagonal/>
    </border>
    <border>
      <start/>
      <end style="medium">
        <color auto="1"/>
      </end>
      <top/>
      <bottom style="medium">
        <color auto="1"/>
      </bottom>
      <diagonal/>
    </border>
    <border>
      <start style="medium">
        <color auto="1"/>
      </start>
      <end/>
      <top style="medium">
        <color auto="1"/>
      </top>
      <bottom style="medium">
        <color auto="1"/>
      </bottom>
      <diagonal/>
    </border>
    <border>
      <start/>
      <end style="medium">
        <color auto="1"/>
      </end>
      <top style="medium">
        <color auto="1"/>
      </top>
      <bottom style="medium">
        <color auto="1"/>
      </bottom>
      <diagonal/>
    </border>
    <border>
      <start style="medium">
        <color auto="1"/>
      </start>
      <end style="thin">
        <color auto="1"/>
      </end>
      <top style="medium">
        <color auto="1"/>
      </top>
      <bottom style="medium">
        <color auto="1"/>
      </bottom>
      <diagonal/>
    </border>
    <border>
      <start/>
      <end style="thin">
        <color auto="1"/>
      </end>
      <top style="medium">
        <color auto="1"/>
      </top>
      <bottom style="medium">
        <color auto="1"/>
      </bottom>
      <diagonal/>
    </border>
    <border>
      <start style="medium">
        <color auto="1"/>
      </start>
      <end style="thin">
        <color auto="1"/>
      </end>
      <top/>
      <bottom style="thin">
        <color auto="1"/>
      </bottom>
      <diagonal/>
    </border>
    <border>
      <start/>
      <end style="thin">
        <color auto="1"/>
      </end>
      <top/>
      <bottom style="thin">
        <color auto="1"/>
      </bottom>
      <diagonal/>
    </border>
    <border>
      <start style="medium">
        <color auto="1"/>
      </start>
      <end style="medium">
        <color auto="1"/>
      </end>
      <top style="medium">
        <color auto="1"/>
      </top>
      <bottom style="medium">
        <color auto="1"/>
      </bottom>
      <diagonal/>
    </border>
    <border>
      <start style="medium">
        <color auto="1"/>
      </start>
      <end style="medium">
        <color auto="1"/>
      </end>
      <top/>
      <bottom/>
      <diagonal/>
    </border>
    <border>
      <start/>
      <end style="medium">
        <color auto="1"/>
      </end>
      <top/>
      <bottom/>
      <diagonal/>
    </border>
    <border>
      <start/>
      <end/>
      <top/>
      <bottom style="medium">
        <color auto="1"/>
      </bottom>
      <diagonal/>
    </border>
    <border>
      <start style="medium">
        <color auto="1"/>
      </start>
      <end/>
      <top style="medium">
        <color auto="1"/>
      </top>
      <bottom/>
      <diagonal/>
    </border>
    <border>
      <start/>
      <end/>
      <top style="medium">
        <color auto="1"/>
      </top>
      <bottom/>
      <diagonal/>
    </border>
    <border>
      <start/>
      <end style="medium">
        <color auto="1"/>
      </end>
      <top style="medium">
        <color auto="1"/>
      </top>
      <bottom/>
      <diagonal/>
    </border>
    <border>
      <start style="medium">
        <color auto="1"/>
      </start>
      <end/>
      <top/>
      <bottom style="medium">
        <color auto="1"/>
      </bottom>
      <diagonal/>
    </border>
    <border>
      <start/>
      <end style="medium">
        <color auto="1"/>
      </end>
      <top style="thin">
        <color auto="1"/>
      </top>
      <bottom style="medium">
        <color auto="1"/>
      </bottom>
      <diagonal/>
    </border>
    <border>
      <start style="medium">
        <color auto="1"/>
      </start>
      <end style="thin">
        <color auto="1"/>
      </end>
      <top style="thin">
        <color auto="1"/>
      </top>
      <bottom style="medium">
        <color auto="1"/>
      </bottom>
      <diagonal/>
    </border>
    <border>
      <start/>
      <end style="thin">
        <color auto="1"/>
      </end>
      <top style="thin">
        <color auto="1"/>
      </top>
      <bottom style="medium">
        <color auto="1"/>
      </bottom>
      <diagonal/>
    </border>
    <border>
      <start style="thin">
        <color auto="1"/>
      </start>
      <end style="medium">
        <color auto="1"/>
      </end>
      <top style="medium">
        <color auto="1"/>
      </top>
      <bottom style="medium">
        <color indexed="64"/>
      </bottom>
      <diagonal/>
    </border>
    <border>
      <start style="thin">
        <color indexed="64"/>
      </start>
      <end style="thin">
        <color indexed="64"/>
      </end>
      <top style="thin">
        <color indexed="64"/>
      </top>
      <bottom style="thin">
        <color indexed="64"/>
      </bottom>
      <diagonal/>
    </border>
    <border>
      <start style="medium">
        <color auto="1"/>
      </start>
      <end/>
      <top style="thin">
        <color auto="1"/>
      </top>
      <bottom style="thin">
        <color auto="1"/>
      </bottom>
      <diagonal/>
    </border>
    <border>
      <start style="medium">
        <color auto="1"/>
      </start>
      <end/>
      <top style="medium">
        <color auto="1"/>
      </top>
      <bottom style="thin">
        <color auto="1"/>
      </bottom>
      <diagonal/>
    </border>
  </borders>
  <cellStyleXfs count="35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43">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9" xfId="0" applyBorder="1"/>
    <xf numFmtId="0" fontId="0" fillId="0" borderId="6" xfId="0" applyBorder="1"/>
    <xf numFmtId="0" fontId="0" fillId="0" borderId="20" xfId="0" applyBorder="1"/>
    <xf numFmtId="0" fontId="0" fillId="0" borderId="21" xfId="0" applyBorder="1"/>
    <xf numFmtId="0" fontId="0" fillId="0" borderId="17" xfId="0" applyBorder="1"/>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Alignment="1">
      <alignment horizontal="right"/>
    </xf>
    <xf numFmtId="0" fontId="10" fillId="0" borderId="0" xfId="0" applyFont="1" applyAlignment="1">
      <alignment horizontal="left"/>
    </xf>
    <xf numFmtId="0" fontId="5" fillId="2" borderId="3" xfId="0" applyFont="1" applyFill="1" applyBorder="1" applyAlignment="1">
      <alignment horizontal="right"/>
    </xf>
    <xf numFmtId="168" fontId="10" fillId="0" borderId="0" xfId="0" applyNumberFormat="1" applyFont="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4" xfId="0" applyNumberFormat="1" applyBorder="1" applyProtection="1">
      <protection locked="0"/>
    </xf>
    <xf numFmtId="0" fontId="14" fillId="0" borderId="16" xfId="0" applyFont="1" applyBorder="1" applyAlignment="1">
      <alignment horizontal="center" vertical="top" wrapText="1"/>
    </xf>
    <xf numFmtId="0" fontId="6" fillId="0" borderId="0" xfId="0" applyFont="1" applyAlignment="1">
      <alignment wrapText="1"/>
    </xf>
    <xf numFmtId="0" fontId="10" fillId="0" borderId="0" xfId="0" applyFont="1" applyAlignment="1">
      <alignment horizontal="center"/>
    </xf>
    <xf numFmtId="18" fontId="23" fillId="0" borderId="0" xfId="0" applyNumberFormat="1" applyFont="1" applyAlignment="1">
      <alignment horizontal="center" wrapText="1"/>
    </xf>
    <xf numFmtId="0" fontId="10" fillId="0" borderId="0" xfId="0" applyFont="1" applyAlignment="1">
      <alignment horizontal="left" vertical="center"/>
    </xf>
    <xf numFmtId="169" fontId="10" fillId="0" borderId="0" xfId="0" applyNumberFormat="1" applyFont="1" applyAlignment="1">
      <alignment horizontal="left" vertical="center"/>
    </xf>
    <xf numFmtId="0" fontId="27" fillId="2" borderId="12" xfId="0" applyFont="1" applyFill="1" applyBorder="1"/>
    <xf numFmtId="0" fontId="27"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1" fontId="13" fillId="0" borderId="4" xfId="0" applyNumberFormat="1" applyFont="1" applyBorder="1" applyProtection="1">
      <protection locked="0"/>
    </xf>
    <xf numFmtId="15" fontId="13" fillId="0" borderId="4" xfId="0" applyNumberFormat="1" applyFont="1" applyBorder="1" applyProtection="1">
      <protection locked="0"/>
    </xf>
    <xf numFmtId="20" fontId="13" fillId="0" borderId="8" xfId="0" applyNumberFormat="1" applyFont="1" applyBorder="1" applyProtection="1">
      <protection locked="0"/>
    </xf>
    <xf numFmtId="0" fontId="28"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5" xfId="0" applyFont="1" applyBorder="1" applyProtection="1">
      <protection locked="0"/>
    </xf>
    <xf numFmtId="49" fontId="5" fillId="0" borderId="25" xfId="0" applyNumberFormat="1" applyFont="1" applyBorder="1" applyAlignment="1" applyProtection="1">
      <alignment horizontal="center"/>
      <protection locked="0"/>
    </xf>
    <xf numFmtId="49" fontId="5" fillId="0" borderId="23" xfId="0" applyNumberFormat="1" applyFont="1" applyBorder="1" applyAlignment="1" applyProtection="1">
      <alignment horizontal="center"/>
      <protection locked="0"/>
    </xf>
    <xf numFmtId="167" fontId="0" fillId="0" borderId="0" xfId="0" applyNumberFormat="1"/>
    <xf numFmtId="0" fontId="14" fillId="0" borderId="7" xfId="0" applyFont="1" applyBorder="1" applyAlignment="1">
      <alignment horizontal="center" vertical="top" wrapText="1"/>
    </xf>
    <xf numFmtId="2" fontId="0" fillId="0" borderId="0" xfId="0" applyNumberFormat="1"/>
    <xf numFmtId="0" fontId="9" fillId="0" borderId="0" xfId="0" applyFont="1" applyAlignment="1">
      <alignment horizontal="center" wrapText="1"/>
    </xf>
    <xf numFmtId="0" fontId="9" fillId="0" borderId="0" xfId="0" applyFont="1"/>
    <xf numFmtId="0" fontId="5" fillId="0" borderId="0" xfId="0" applyFont="1"/>
    <xf numFmtId="0" fontId="27" fillId="2" borderId="26" xfId="0" applyFont="1" applyFill="1" applyBorder="1"/>
    <xf numFmtId="0" fontId="0" fillId="2" borderId="28" xfId="0" applyFill="1" applyBorder="1" applyAlignment="1">
      <alignment horizontal="right"/>
    </xf>
    <xf numFmtId="15" fontId="13" fillId="0" borderId="27" xfId="0" applyNumberFormat="1" applyFont="1" applyBorder="1" applyProtection="1">
      <protection locked="0"/>
    </xf>
    <xf numFmtId="0" fontId="5" fillId="2" borderId="29" xfId="0" applyFont="1" applyFill="1" applyBorder="1" applyAlignment="1">
      <alignment horizontal="right"/>
    </xf>
    <xf numFmtId="0" fontId="6" fillId="0" borderId="0" xfId="0" applyFont="1" applyAlignment="1">
      <alignment vertical="top" wrapText="1"/>
    </xf>
    <xf numFmtId="0" fontId="5" fillId="0" borderId="0" xfId="0" applyFont="1" applyAlignment="1">
      <alignment wrapText="1"/>
    </xf>
    <xf numFmtId="0" fontId="0" fillId="0" borderId="0" xfId="0" applyProtection="1">
      <protection locked="0"/>
    </xf>
    <xf numFmtId="0" fontId="14" fillId="0" borderId="16" xfId="0" applyFont="1" applyBorder="1" applyAlignment="1" applyProtection="1">
      <alignment horizontal="center" vertical="center" wrapText="1"/>
      <protection locked="0"/>
    </xf>
    <xf numFmtId="0" fontId="7" fillId="0" borderId="16" xfId="0" applyFont="1" applyBorder="1" applyAlignment="1" applyProtection="1">
      <alignment horizontal="center" wrapText="1"/>
      <protection locked="0"/>
    </xf>
    <xf numFmtId="0" fontId="14" fillId="0" borderId="16" xfId="0" applyFont="1" applyBorder="1" applyAlignment="1" applyProtection="1">
      <alignment horizontal="center" vertical="top" wrapText="1"/>
      <protection locked="0"/>
    </xf>
    <xf numFmtId="0" fontId="14" fillId="0" borderId="7" xfId="0" applyFont="1" applyBorder="1" applyAlignment="1" applyProtection="1">
      <alignment horizontal="center" wrapText="1"/>
      <protection locked="0"/>
    </xf>
    <xf numFmtId="0" fontId="7" fillId="0" borderId="7" xfId="0" applyFont="1" applyBorder="1" applyProtection="1">
      <protection locked="0"/>
    </xf>
    <xf numFmtId="0" fontId="14" fillId="0" borderId="7" xfId="0" applyFont="1" applyBorder="1" applyAlignment="1" applyProtection="1">
      <alignment horizontal="center" vertical="center" wrapText="1"/>
      <protection locked="0"/>
    </xf>
    <xf numFmtId="168" fontId="10" fillId="0" borderId="18" xfId="0" applyNumberFormat="1" applyFont="1" applyBorder="1" applyAlignment="1" applyProtection="1">
      <alignment horizontal="center"/>
      <protection locked="0"/>
    </xf>
    <xf numFmtId="15" fontId="32" fillId="0" borderId="4" xfId="0" applyNumberFormat="1" applyFont="1" applyBorder="1" applyAlignment="1" applyProtection="1">
      <alignment horizontal="center"/>
      <protection locked="0"/>
    </xf>
    <xf numFmtId="0" fontId="31" fillId="2" borderId="29" xfId="0" applyFont="1" applyFill="1" applyBorder="1" applyAlignment="1">
      <alignment horizontal="right"/>
    </xf>
    <xf numFmtId="15" fontId="31" fillId="2" borderId="2" xfId="0" applyNumberFormat="1" applyFont="1" applyFill="1" applyBorder="1" applyAlignment="1">
      <alignment horizontal="left"/>
    </xf>
    <xf numFmtId="0" fontId="31" fillId="0" borderId="0" xfId="0" applyFont="1"/>
    <xf numFmtId="0" fontId="31" fillId="0" borderId="0" xfId="0" applyFont="1" applyAlignment="1">
      <alignment wrapText="1"/>
    </xf>
    <xf numFmtId="167" fontId="0" fillId="0" borderId="13" xfId="0" applyNumberFormat="1" applyBorder="1"/>
    <xf numFmtId="0" fontId="5" fillId="2" borderId="9" xfId="0" applyFont="1"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31" fillId="0" borderId="0" xfId="0" applyFont="1" applyAlignment="1">
      <alignment horizontal="left" vertical="top" wrapText="1"/>
    </xf>
    <xf numFmtId="0" fontId="30" fillId="0" borderId="0" xfId="0" applyFont="1" applyAlignment="1">
      <alignment horizontal="left"/>
    </xf>
    <xf numFmtId="0" fontId="13" fillId="0" borderId="9"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3" fillId="0" borderId="10" xfId="0" applyFont="1" applyBorder="1" applyAlignment="1" applyProtection="1">
      <alignment horizontal="left"/>
      <protection locked="0"/>
    </xf>
    <xf numFmtId="0" fontId="28" fillId="0" borderId="0" xfId="0" applyFont="1" applyAlignment="1">
      <alignment horizontal="right"/>
    </xf>
    <xf numFmtId="0" fontId="0" fillId="2" borderId="9" xfId="0" applyFill="1" applyBorder="1" applyAlignment="1">
      <alignment horizontal="center"/>
    </xf>
    <xf numFmtId="0" fontId="10" fillId="0" borderId="0" xfId="0" applyFont="1" applyAlignment="1">
      <alignment horizontal="righ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0" fillId="0" borderId="18" xfId="0" applyBorder="1" applyAlignment="1" applyProtection="1">
      <alignment horizontal="left"/>
      <protection locked="0"/>
    </xf>
    <xf numFmtId="0" fontId="29" fillId="0" borderId="18" xfId="0" applyFont="1" applyBorder="1" applyAlignment="1" applyProtection="1">
      <alignment horizontal="left"/>
      <protection locked="0"/>
    </xf>
    <xf numFmtId="0" fontId="8" fillId="0" borderId="5" xfId="0" applyFont="1" applyBorder="1" applyAlignment="1" applyProtection="1">
      <alignment horizontal="left"/>
      <protection locked="0"/>
    </xf>
    <xf numFmtId="0" fontId="7" fillId="0" borderId="18" xfId="0" applyFont="1" applyBorder="1" applyAlignment="1" applyProtection="1">
      <alignment horizontal="center" wrapText="1"/>
      <protection locked="0"/>
    </xf>
    <xf numFmtId="168" fontId="10" fillId="0" borderId="18" xfId="0" applyNumberFormat="1" applyFont="1" applyBorder="1" applyAlignment="1" applyProtection="1">
      <alignment horizontal="left"/>
      <protection locked="0"/>
    </xf>
    <xf numFmtId="169" fontId="12" fillId="0" borderId="5" xfId="0" applyNumberFormat="1" applyFont="1" applyBorder="1" applyAlignment="1" applyProtection="1">
      <alignment horizontal="left"/>
      <protection locked="0"/>
    </xf>
    <xf numFmtId="0" fontId="10" fillId="0" borderId="5" xfId="0" applyFont="1" applyBorder="1" applyAlignment="1" applyProtection="1">
      <alignment horizontal="left"/>
      <protection locked="0"/>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2" fillId="0" borderId="18" xfId="0" applyFont="1" applyBorder="1" applyAlignment="1" applyProtection="1">
      <alignment horizontal="left"/>
      <protection locked="0"/>
    </xf>
    <xf numFmtId="168" fontId="10" fillId="0" borderId="0" xfId="0" applyNumberFormat="1" applyFont="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protection locked="0"/>
    </xf>
    <xf numFmtId="0" fontId="5" fillId="0" borderId="22" xfId="0" applyFont="1" applyBorder="1" applyAlignment="1">
      <alignment horizontal="right"/>
    </xf>
    <xf numFmtId="0" fontId="0" fillId="0" borderId="18" xfId="0" applyBorder="1" applyAlignment="1">
      <alignment horizontal="right"/>
    </xf>
    <xf numFmtId="0" fontId="0" fillId="0" borderId="8" xfId="0" applyBorder="1" applyAlignment="1">
      <alignment horizontal="right"/>
    </xf>
    <xf numFmtId="15" fontId="0" fillId="0" borderId="22" xfId="0" applyNumberFormat="1" applyBorder="1" applyAlignment="1">
      <alignment horizontal="left"/>
    </xf>
    <xf numFmtId="0" fontId="0" fillId="0" borderId="18" xfId="0" applyBorder="1" applyAlignment="1">
      <alignment horizontal="left"/>
    </xf>
    <xf numFmtId="0" fontId="0" fillId="0" borderId="8" xfId="0" applyBorder="1" applyAlignment="1">
      <alignment horizontal="left"/>
    </xf>
    <xf numFmtId="0" fontId="10" fillId="0" borderId="18" xfId="0" applyFont="1" applyBorder="1" applyProtection="1">
      <protection locked="0"/>
    </xf>
    <xf numFmtId="168" fontId="10" fillId="0" borderId="18" xfId="0" applyNumberFormat="1" applyFont="1" applyBorder="1" applyAlignment="1" applyProtection="1">
      <alignment horizontal="center"/>
      <protection locked="0"/>
    </xf>
    <xf numFmtId="0" fontId="6" fillId="0" borderId="0" xfId="0" applyFont="1" applyAlignment="1">
      <alignment horizontal="center" wrapText="1"/>
    </xf>
    <xf numFmtId="0" fontId="5" fillId="0" borderId="0" xfId="0" applyFont="1" applyAlignment="1">
      <alignment horizontal="right" vertical="top"/>
    </xf>
    <xf numFmtId="0" fontId="0" fillId="0" borderId="0" xfId="0" applyAlignment="1">
      <alignment horizontal="right" vertical="top"/>
    </xf>
    <xf numFmtId="15" fontId="0" fillId="0" borderId="0" xfId="0" applyNumberFormat="1" applyAlignment="1">
      <alignment horizontal="left" vertical="top"/>
    </xf>
    <xf numFmtId="168" fontId="10" fillId="0" borderId="18" xfId="0" applyNumberFormat="1" applyFont="1" applyBorder="1" applyAlignment="1">
      <alignment horizontal="center"/>
    </xf>
    <xf numFmtId="0" fontId="7" fillId="0" borderId="18" xfId="0" applyFont="1" applyBorder="1" applyAlignment="1" applyProtection="1">
      <alignment horizontal="left" wrapText="1"/>
      <protection locked="0"/>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15">
    <dxf>
      <font>
        <color theme="0"/>
      </font>
      <fill>
        <patternFill patternType="none">
          <bgColor auto="1"/>
        </patternFill>
      </fill>
      <border>
        <start/>
        <end/>
        <top/>
        <bottom/>
      </border>
    </dxf>
    <dxf>
      <font>
        <color theme="0"/>
      </font>
      <fill>
        <patternFill patternType="none">
          <bgColor auto="1"/>
        </patternFill>
      </fill>
      <border>
        <start/>
        <end/>
        <top/>
        <bottom/>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start/>
        <end/>
        <top/>
        <bottom/>
      </border>
    </dxf>
    <dxf>
      <font>
        <color theme="0"/>
      </font>
      <fill>
        <patternFill patternType="none">
          <bgColor auto="1"/>
        </patternFill>
      </fill>
      <border>
        <start/>
        <end/>
        <top/>
        <bottom/>
      </border>
    </dxf>
    <dxf>
      <font>
        <color theme="0"/>
      </font>
      <fill>
        <patternFill patternType="none">
          <bgColor auto="1"/>
        </patternFill>
      </fill>
      <border>
        <start/>
        <end/>
        <top/>
        <bottom/>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start/>
        <end/>
        <top/>
        <bottom/>
      </border>
    </dxf>
    <dxf>
      <font>
        <color theme="0"/>
      </font>
      <fill>
        <patternFill patternType="none">
          <bgColor auto="1"/>
        </patternFill>
      </fill>
      <border>
        <start/>
        <end/>
        <top/>
        <bottom/>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start/>
        <end/>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sharedStrings" Target="sharedStrings.xml"/><Relationship Id="rId3" Type="http://purl.oclc.org/ooxml/officeDocument/relationships/worksheet" Target="worksheets/sheet3.xml"/><Relationship Id="rId7" Type="http://purl.oclc.org/ooxml/officeDocument/relationships/styles" Target="style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theme" Target="theme/theme1.xml"/><Relationship Id="rId5" Type="http://purl.oclc.org/ooxml/officeDocument/relationships/worksheet" Target="worksheets/sheet5.xml"/><Relationship Id="rId4" Type="http://purl.oclc.org/ooxml/officeDocument/relationships/worksheet" Target="worksheets/sheet4.xml"/><Relationship Id="rId9" Type="http://purl.oclc.org/ooxml/officeDocument/relationships/calcChain" Target="calcChain.xml"/></Relationships>
</file>

<file path=xl/drawings/_rels/drawing2.xml.rels><?xml version="1.0" encoding="UTF-8" standalone="yes"?>
<Relationships xmlns="http://schemas.openxmlformats.org/package/2006/relationships"><Relationship Id="rId1" Type="http://purl.oclc.org/ooxml/officeDocument/relationships/image" Target="../media/image1.png"/></Relationships>
</file>

<file path=xl/drawings/_rels/drawing3.xml.rels><?xml version="1.0" encoding="UTF-8" standalone="yes"?>
<Relationships xmlns="http://schemas.openxmlformats.org/package/2006/relationships"><Relationship Id="rId1" Type="http://purl.oclc.org/ooxml/officeDocument/relationships/image" Target="../media/image1.png"/></Relationships>
</file>

<file path=xl/drawings/_rels/drawing4.xml.rels><?xml version="1.0" encoding="UTF-8" standalone="yes"?>
<Relationships xmlns="http://schemas.openxmlformats.org/package/2006/relationships"><Relationship Id="rId1" Type="http://purl.oclc.org/ooxml/officeDocument/relationships/image" Target="../media/image1.png"/></Relationships>
</file>

<file path=xl/drawings/_rels/drawing5.xml.rels><?xml version="1.0" encoding="UTF-8" standalone="yes"?>
<Relationships xmlns="http://schemas.openxmlformats.org/package/2006/relationships"><Relationship Id="rId1" Type="http://purl.oclc.org/ooxml/officeDocument/relationships/image" Target="../media/image1.png"/></Relationships>
</file>

<file path=xl/drawings/drawing1.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3</xdr:col>
          <xdr:colOff>165100</xdr:colOff>
          <xdr:row>2</xdr:row>
          <xdr:rowOff>38100</xdr:rowOff>
        </xdr:from>
        <xdr:to>
          <xdr:col>4</xdr:col>
          <xdr:colOff>838200</xdr:colOff>
          <xdr:row>6</xdr:row>
          <xdr:rowOff>165100</xdr:rowOff>
        </xdr:to>
        <xdr:sp macro="" textlink="">
          <xdr:nvSpPr>
            <xdr:cNvPr id="1025" name="Comment 10" hidden="1">
              <a:extLst>
                <a:ext uri="{FF2B5EF4-FFF2-40B4-BE49-F238E27FC236}">
                  <a16:creationId xmlns:a16="http://schemas.microsoft.com/office/drawing/2014/main" id="{2B5CDD84-6F76-9943-9464-524DC652FECA}"/>
                </a:ext>
              </a:extLst>
            </xdr:cNvPr>
            <xdr:cNvSpPr txBox="1">
              <a:spLocks noChangeArrowheads="1"/>
            </xdr:cNvSpPr>
          </xdr:nvSpPr>
          <xdr:spPr bwMode="auto">
            <a:xfrm>
              <a:off x="2247900" y="457200"/>
              <a:ext cx="1308100" cy="8636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1" i="0" u="none" strike="noStrike" baseline="0%">
                  <a:solidFill>
                    <a:srgbClr val="000000"/>
                  </a:solidFill>
                  <a:latin typeface="Tahoma" pitchFamily="2" charset="0"/>
                  <a:ea typeface="Tahoma" pitchFamily="2" charset="0"/>
                  <a:cs typeface="Tahoma" pitchFamily="2" charset="0"/>
                </a:rPr>
                <a:t>Stephen Hinde:</a:t>
              </a:r>
              <a:r>
                <a:rPr lang="en-US" sz="1000" b="0" i="0" u="none" strike="noStrike" baseline="0%">
                  <a:solidFill>
                    <a:srgbClr val="000000"/>
                  </a:solidFill>
                  <a:latin typeface="Tahoma" pitchFamily="2" charset="0"/>
                  <a:ea typeface="Tahoma" pitchFamily="2" charset="0"/>
                  <a:cs typeface="Tahoma" pitchFamily="2" charset="0"/>
                </a:rPr>
                <a:t>Revision date of the brevet details on this sheet</a:t>
              </a:r>
            </a:p>
            <a:p>
              <a:pPr algn="l" rtl="0">
                <a:defRPr sz="1000"/>
              </a:pPr>
              <a:endParaRPr lang="en-US" sz="10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165100</xdr:colOff>
          <xdr:row>4</xdr:row>
          <xdr:rowOff>38100</xdr:rowOff>
        </xdr:from>
        <xdr:to>
          <xdr:col>4</xdr:col>
          <xdr:colOff>825500</xdr:colOff>
          <xdr:row>7</xdr:row>
          <xdr:rowOff>25400</xdr:rowOff>
        </xdr:to>
        <xdr:sp macro="" textlink="">
          <xdr:nvSpPr>
            <xdr:cNvPr id="1026" name="Comment 7" hidden="1">
              <a:extLst>
                <a:ext uri="{FF2B5EF4-FFF2-40B4-BE49-F238E27FC236}">
                  <a16:creationId xmlns:a16="http://schemas.microsoft.com/office/drawing/2014/main" id="{7C939559-AB53-B718-23BB-72CA4DD9321B}"/>
                </a:ext>
              </a:extLst>
            </xdr:cNvPr>
            <xdr:cNvSpPr txBox="1">
              <a:spLocks noChangeArrowheads="1"/>
            </xdr:cNvSpPr>
          </xdr:nvSpPr>
          <xdr:spPr bwMode="auto">
            <a:xfrm>
              <a:off x="2247900" y="787400"/>
              <a:ext cx="1295400" cy="5715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1" i="0" u="none" strike="noStrike" baseline="0%">
                  <a:solidFill>
                    <a:srgbClr val="000000"/>
                  </a:solidFill>
                  <a:latin typeface="Tahoma" pitchFamily="2" charset="0"/>
                  <a:ea typeface="Tahoma" pitchFamily="2" charset="0"/>
                  <a:cs typeface="Tahoma" pitchFamily="2" charset="0"/>
                </a:rPr>
                <a:t>Stephen Hinde:</a:t>
              </a:r>
              <a:endParaRPr lang="en-US" sz="10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000" b="0" i="0" u="none" strike="noStrike" baseline="0%">
                  <a:solidFill>
                    <a:srgbClr val="000000"/>
                  </a:solidFill>
                  <a:latin typeface="Tahoma" pitchFamily="2" charset="0"/>
                  <a:ea typeface="Tahoma" pitchFamily="2" charset="0"/>
                  <a:cs typeface="Tahoma" pitchFamily="2" charset="0"/>
                </a:rPr>
                <a:t>Nominal ACP distance</a:t>
              </a:r>
            </a:p>
            <a:p>
              <a:pPr algn="l" rtl="0">
                <a:defRPr sz="1000"/>
              </a:pPr>
              <a:endParaRPr lang="en-US" sz="10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000" b="0" i="0" u="none" strike="noStrike" baseline="0%">
                  <a:solidFill>
                    <a:srgbClr val="000000"/>
                  </a:solidFill>
                  <a:latin typeface="Tahoma" pitchFamily="2" charset="0"/>
                  <a:ea typeface="Tahoma" pitchFamily="2" charset="0"/>
                  <a:cs typeface="Tahoma" pitchFamily="2" charset="0"/>
                </a:rPr>
                <a:t>eg 200, 300, 400, 600</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165100</xdr:colOff>
          <xdr:row>5</xdr:row>
          <xdr:rowOff>76200</xdr:rowOff>
        </xdr:from>
        <xdr:to>
          <xdr:col>4</xdr:col>
          <xdr:colOff>927100</xdr:colOff>
          <xdr:row>7</xdr:row>
          <xdr:rowOff>114300</xdr:rowOff>
        </xdr:to>
        <xdr:sp macro="" textlink="">
          <xdr:nvSpPr>
            <xdr:cNvPr id="1027" name="Comment 3" hidden="1">
              <a:extLst>
                <a:ext uri="{FF2B5EF4-FFF2-40B4-BE49-F238E27FC236}">
                  <a16:creationId xmlns:a16="http://schemas.microsoft.com/office/drawing/2014/main" id="{4ED137D0-170E-B6C8-0B8A-0410B181FDF3}"/>
                </a:ext>
              </a:extLst>
            </xdr:cNvPr>
            <xdr:cNvSpPr txBox="1">
              <a:spLocks noChangeArrowheads="1"/>
            </xdr:cNvSpPr>
          </xdr:nvSpPr>
          <xdr:spPr bwMode="auto">
            <a:xfrm>
              <a:off x="2247900" y="1003300"/>
              <a:ext cx="1397000" cy="444500"/>
            </a:xfrm>
            <a:prstGeom prst="rect">
              <a:avLst/>
            </a:prstGeom>
            <a:solidFill>
              <a:srgbClr val="FFFFA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Autocalculated based on ACP specified times</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165100</xdr:colOff>
          <xdr:row>7</xdr:row>
          <xdr:rowOff>114300</xdr:rowOff>
        </xdr:from>
        <xdr:to>
          <xdr:col>4</xdr:col>
          <xdr:colOff>825500</xdr:colOff>
          <xdr:row>12</xdr:row>
          <xdr:rowOff>203200</xdr:rowOff>
        </xdr:to>
        <xdr:sp macro="" textlink="">
          <xdr:nvSpPr>
            <xdr:cNvPr id="1028" name="Comment 6" hidden="1">
              <a:extLst>
                <a:ext uri="{FF2B5EF4-FFF2-40B4-BE49-F238E27FC236}">
                  <a16:creationId xmlns:a16="http://schemas.microsoft.com/office/drawing/2014/main" id="{3F72F377-7CD9-DEA8-6D9A-9006478C7919}"/>
                </a:ext>
              </a:extLst>
            </xdr:cNvPr>
            <xdr:cNvSpPr txBox="1">
              <a:spLocks noChangeArrowheads="1"/>
            </xdr:cNvSpPr>
          </xdr:nvSpPr>
          <xdr:spPr bwMode="auto">
            <a:xfrm>
              <a:off x="2247900" y="1447800"/>
              <a:ext cx="1295400" cy="10922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1" i="0" u="none" strike="noStrike" baseline="0%">
                  <a:solidFill>
                    <a:srgbClr val="000000"/>
                  </a:solidFill>
                  <a:latin typeface="Tahoma" pitchFamily="2" charset="0"/>
                  <a:ea typeface="Tahoma" pitchFamily="2" charset="0"/>
                  <a:cs typeface="Tahoma" pitchFamily="2" charset="0"/>
                </a:rPr>
                <a:t>Stephen Hinde:</a:t>
              </a:r>
              <a:endParaRPr lang="en-US" sz="10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000" b="0" i="0" u="none" strike="noStrike" baseline="0%">
                  <a:solidFill>
                    <a:srgbClr val="000000"/>
                  </a:solidFill>
                  <a:latin typeface="Tahoma" pitchFamily="2" charset="0"/>
                  <a:ea typeface="Tahoma" pitchFamily="2" charset="0"/>
                  <a:cs typeface="Tahoma" pitchFamily="2" charset="0"/>
                </a:rPr>
                <a:t>On event page</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165100</xdr:colOff>
          <xdr:row>7</xdr:row>
          <xdr:rowOff>63500</xdr:rowOff>
        </xdr:from>
        <xdr:to>
          <xdr:col>4</xdr:col>
          <xdr:colOff>825500</xdr:colOff>
          <xdr:row>12</xdr:row>
          <xdr:rowOff>25400</xdr:rowOff>
        </xdr:to>
        <xdr:sp macro="" textlink="">
          <xdr:nvSpPr>
            <xdr:cNvPr id="1029" name="Comment 4" hidden="1">
              <a:extLst>
                <a:ext uri="{FF2B5EF4-FFF2-40B4-BE49-F238E27FC236}">
                  <a16:creationId xmlns:a16="http://schemas.microsoft.com/office/drawing/2014/main" id="{EE9B5C96-B7D0-35B2-1D28-2370521F5E61}"/>
                </a:ext>
              </a:extLst>
            </xdr:cNvPr>
            <xdr:cNvSpPr txBox="1">
              <a:spLocks noChangeArrowheads="1"/>
            </xdr:cNvSpPr>
          </xdr:nvSpPr>
          <xdr:spPr bwMode="auto">
            <a:xfrm>
              <a:off x="2247900" y="1397000"/>
              <a:ext cx="1295400" cy="9652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1" i="0" u="none" strike="noStrike" baseline="0%">
                  <a:solidFill>
                    <a:srgbClr val="000000"/>
                  </a:solidFill>
                  <a:latin typeface="Tahoma" pitchFamily="2" charset="0"/>
                  <a:ea typeface="Tahoma" pitchFamily="2" charset="0"/>
                  <a:cs typeface="Tahoma" pitchFamily="2" charset="0"/>
                </a:rPr>
                <a:t>Stephen Hinde:</a:t>
              </a:r>
              <a:endParaRPr lang="en-US" sz="10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000" b="0" i="0" u="none" strike="noStrike" baseline="0%">
                  <a:solidFill>
                    <a:srgbClr val="000000"/>
                  </a:solidFill>
                  <a:latin typeface="Tahoma" pitchFamily="2" charset="0"/>
                  <a:ea typeface="Tahoma" pitchFamily="2" charset="0"/>
                  <a:cs typeface="Tahoma" pitchFamily="2" charset="0"/>
                </a:rPr>
                <a:t>Official ACP date</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165100</xdr:colOff>
          <xdr:row>8</xdr:row>
          <xdr:rowOff>127000</xdr:rowOff>
        </xdr:from>
        <xdr:to>
          <xdr:col>4</xdr:col>
          <xdr:colOff>825500</xdr:colOff>
          <xdr:row>14</xdr:row>
          <xdr:rowOff>127000</xdr:rowOff>
        </xdr:to>
        <xdr:sp macro="" textlink="">
          <xdr:nvSpPr>
            <xdr:cNvPr id="1030" name="Comment 8" hidden="1">
              <a:extLst>
                <a:ext uri="{FF2B5EF4-FFF2-40B4-BE49-F238E27FC236}">
                  <a16:creationId xmlns:a16="http://schemas.microsoft.com/office/drawing/2014/main" id="{B30E7B30-291D-7CE6-31DE-125BF1599DCE}"/>
                </a:ext>
              </a:extLst>
            </xdr:cNvPr>
            <xdr:cNvSpPr txBox="1">
              <a:spLocks noChangeArrowheads="1"/>
            </xdr:cNvSpPr>
          </xdr:nvSpPr>
          <xdr:spPr bwMode="auto">
            <a:xfrm>
              <a:off x="2247900" y="1701800"/>
              <a:ext cx="1295400" cy="11811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1" i="0" u="none" strike="noStrike" baseline="0%">
                  <a:solidFill>
                    <a:srgbClr val="000000"/>
                  </a:solidFill>
                  <a:latin typeface="Tahoma" pitchFamily="2" charset="0"/>
                  <a:ea typeface="Tahoma" pitchFamily="2" charset="0"/>
                  <a:cs typeface="Tahoma" pitchFamily="2" charset="0"/>
                </a:rPr>
                <a:t>Stephen Hinde:</a:t>
              </a:r>
              <a:endParaRPr lang="en-US" sz="10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000" b="0" i="0" u="none" strike="noStrike" baseline="0%">
                  <a:solidFill>
                    <a:srgbClr val="000000"/>
                  </a:solidFill>
                  <a:latin typeface="Tahoma" pitchFamily="2" charset="0"/>
                  <a:ea typeface="Tahoma" pitchFamily="2" charset="0"/>
                  <a:cs typeface="Tahoma" pitchFamily="2" charset="0"/>
                </a:rPr>
                <a:t>Ride date</a:t>
              </a:r>
            </a:p>
            <a:p>
              <a:pPr algn="l" rtl="0">
                <a:defRPr sz="1000"/>
              </a:pPr>
              <a:endParaRPr lang="en-US" sz="10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165100</xdr:colOff>
          <xdr:row>11</xdr:row>
          <xdr:rowOff>88900</xdr:rowOff>
        </xdr:from>
        <xdr:to>
          <xdr:col>4</xdr:col>
          <xdr:colOff>838200</xdr:colOff>
          <xdr:row>14</xdr:row>
          <xdr:rowOff>203200</xdr:rowOff>
        </xdr:to>
        <xdr:sp macro="" textlink="">
          <xdr:nvSpPr>
            <xdr:cNvPr id="1031" name="Comment 9" hidden="1">
              <a:extLst>
                <a:ext uri="{FF2B5EF4-FFF2-40B4-BE49-F238E27FC236}">
                  <a16:creationId xmlns:a16="http://schemas.microsoft.com/office/drawing/2014/main" id="{B0A354CD-3488-3C08-550B-A066C8F40F2E}"/>
                </a:ext>
              </a:extLst>
            </xdr:cNvPr>
            <xdr:cNvSpPr txBox="1">
              <a:spLocks noChangeArrowheads="1"/>
            </xdr:cNvSpPr>
          </xdr:nvSpPr>
          <xdr:spPr bwMode="auto">
            <a:xfrm>
              <a:off x="2247900" y="2197100"/>
              <a:ext cx="1308100" cy="7620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1" i="0" u="none" strike="noStrike" baseline="0%">
                  <a:solidFill>
                    <a:srgbClr val="000000"/>
                  </a:solidFill>
                  <a:latin typeface="Tahoma" pitchFamily="2" charset="0"/>
                  <a:ea typeface="Tahoma" pitchFamily="2" charset="0"/>
                  <a:cs typeface="Tahoma" pitchFamily="2" charset="0"/>
                </a:rPr>
                <a:t>Stephen Hinde:</a:t>
              </a:r>
              <a:endParaRPr lang="en-US" sz="10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000" b="0" i="0" u="none" strike="noStrike" baseline="0%">
                  <a:solidFill>
                    <a:srgbClr val="000000"/>
                  </a:solidFill>
                  <a:latin typeface="Tahoma" pitchFamily="2" charset="0"/>
                  <a:ea typeface="Tahoma" pitchFamily="2" charset="0"/>
                  <a:cs typeface="Tahoma" pitchFamily="2" charset="0"/>
                </a:rPr>
                <a:t>24hr clock format</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hh:mm</a:t>
              </a:r>
            </a:p>
          </xdr:txBody>
        </xdr:sp>
        <xdr:clientData/>
      </xdr:twoCellAnchor>
    </mc:Fallback>
  </mc:AlternateContent>
</xdr:wsDr>
</file>

<file path=xl/drawings/drawing2.xml><?xml version="1.0" encoding="utf-8"?>
<xdr:wsDr xmlns:xdr="http://purl.oclc.org/ooxml/drawingml/spreadsheetDrawing" xmlns:a="http://purl.oclc.org/ooxml/drawingml/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purl.oclc.org/ooxml/officeDocument/relationships" r:embed="rId1"/>
        <a:stretch>
          <a:fillRect/>
        </a:stretch>
      </xdr:blipFill>
      <xdr:spPr>
        <a:xfrm>
          <a:off x="11113477" y="485206"/>
          <a:ext cx="1992923" cy="1566607"/>
        </a:xfrm>
        <a:prstGeom prst="rect">
          <a:avLst/>
        </a:prstGeom>
      </xdr:spPr>
    </xdr:pic>
    <xdr:clientData/>
  </xdr:twoCellAnchor>
</xdr:wsDr>
</file>

<file path=xl/drawings/drawing3.xml><?xml version="1.0" encoding="utf-8"?>
<xdr:wsDr xmlns:xdr="http://purl.oclc.org/ooxml/drawingml/spreadsheetDrawing" xmlns:a="http://purl.oclc.org/ooxml/drawingml/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purl.oclc.org/ooxml/officeDocument/relationships" r:embed="rId1"/>
        <a:stretch>
          <a:fillRect/>
        </a:stretch>
      </xdr:blipFill>
      <xdr:spPr>
        <a:xfrm>
          <a:off x="11099800" y="465993"/>
          <a:ext cx="2006600" cy="1566282"/>
        </a:xfrm>
        <a:prstGeom prst="rect">
          <a:avLst/>
        </a:prstGeom>
      </xdr:spPr>
    </xdr:pic>
    <xdr:clientData/>
  </xdr:twoCellAnchor>
</xdr:wsDr>
</file>

<file path=xl/drawings/drawing4.xml><?xml version="1.0" encoding="utf-8"?>
<xdr:wsDr xmlns:xdr="http://purl.oclc.org/ooxml/drawingml/spreadsheetDrawing" xmlns:a="http://purl.oclc.org/ooxml/drawingml/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7243A14B-4D96-E346-B75C-AEE5C2592045}"/>
            </a:ext>
          </a:extLst>
        </xdr:cNvPr>
        <xdr:cNvPicPr>
          <a:picLocks noChangeAspect="1"/>
        </xdr:cNvPicPr>
      </xdr:nvPicPr>
      <xdr:blipFill>
        <a:blip xmlns:r="http://purl.oclc.org/ooxml/officeDocument/relationships" r:embed="rId1"/>
        <a:stretch>
          <a:fillRect/>
        </a:stretch>
      </xdr:blipFill>
      <xdr:spPr>
        <a:xfrm>
          <a:off x="11099800" y="491393"/>
          <a:ext cx="2006600" cy="1566282"/>
        </a:xfrm>
        <a:prstGeom prst="rect">
          <a:avLst/>
        </a:prstGeom>
      </xdr:spPr>
    </xdr:pic>
    <xdr:clientData/>
  </xdr:twoCellAnchor>
</xdr:wsDr>
</file>

<file path=xl/drawings/drawing5.xml><?xml version="1.0" encoding="utf-8"?>
<xdr:wsDr xmlns:xdr="http://purl.oclc.org/ooxml/drawingml/spreadsheetDrawing" xmlns:a="http://purl.oclc.org/ooxml/drawingml/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5EEAACE2-AD57-BD48-BB33-9A5E9F368AED}"/>
            </a:ext>
          </a:extLst>
        </xdr:cNvPr>
        <xdr:cNvPicPr>
          <a:picLocks noChangeAspect="1"/>
        </xdr:cNvPicPr>
      </xdr:nvPicPr>
      <xdr:blipFill>
        <a:blip xmlns:r="http://purl.oclc.org/ooxml/officeDocument/relationships" r:embed="rId1"/>
        <a:stretch>
          <a:fillRect/>
        </a:stretch>
      </xdr:blipFill>
      <xdr:spPr>
        <a:xfrm>
          <a:off x="11099800" y="491393"/>
          <a:ext cx="2006600" cy="1566282"/>
        </a:xfrm>
        <a:prstGeom prst="rect">
          <a:avLst/>
        </a:prstGeom>
      </xdr:spPr>
    </xdr:pic>
    <xdr:clientData/>
  </xdr:twoCellAnchor>
</xdr:wsDr>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tint val="100%"/>
                <a:shade val="100%"/>
                <a:satMod val="130%"/>
              </a:schemeClr>
            </a:gs>
            <a:gs pos="100%">
              <a:schemeClr val="phClr">
                <a:tint val="50%"/>
                <a:shade val="100%"/>
                <a:satMod val="350%"/>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purl.oclc.org/ooxml/officeDocument/relationships/comments" Target="../comments1.xml"/><Relationship Id="rId2" Type="http://schemas.openxmlformats.org/officeDocument/2006/relationships/vmlDrawing" Target="../drawings/vmlDrawing1.vml"/><Relationship Id="rId1" Type="http://purl.oclc.org/ooxml/officeDocument/relationships/drawing" Target="../drawings/drawing1.xml"/></Relationships>
</file>

<file path=xl/worksheets/_rels/sheet2.xml.rels><?xml version="1.0" encoding="UTF-8" standalone="yes"?>
<Relationships xmlns="http://schemas.openxmlformats.org/package/2006/relationships"><Relationship Id="rId1" Type="http://purl.oclc.org/ooxml/officeDocument/relationships/drawing" Target="../drawings/drawing2.xml"/></Relationships>
</file>

<file path=xl/worksheets/_rels/sheet3.xml.rels><?xml version="1.0" encoding="UTF-8" standalone="yes"?>
<Relationships xmlns="http://schemas.openxmlformats.org/package/2006/relationships"><Relationship Id="rId1" Type="http://purl.oclc.org/ooxml/officeDocument/relationships/drawing" Target="../drawings/drawing3.xml"/></Relationships>
</file>

<file path=xl/worksheets/_rels/sheet4.xml.rels><?xml version="1.0" encoding="UTF-8" standalone="yes"?>
<Relationships xmlns="http://schemas.openxmlformats.org/package/2006/relationships"><Relationship Id="rId1" Type="http://purl.oclc.org/ooxml/officeDocument/relationships/drawing" Target="../drawings/drawing4.xml"/></Relationships>
</file>

<file path=xl/worksheets/_rels/sheet5.xml.rels><?xml version="1.0" encoding="UTF-8" standalone="yes"?>
<Relationships xmlns="http://schemas.openxmlformats.org/package/2006/relationships"><Relationship Id="rId1" Type="http://purl.oclc.org/ooxml/officeDocument/relationships/drawing" Target="../drawings/drawing5.xml"/></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3"/>
  <sheetViews>
    <sheetView showGridLines="0" zoomScale="140" zoomScaleNormal="140" zoomScalePageLayoutView="135" workbookViewId="0">
      <selection activeCell="B4" sqref="B4"/>
    </sheetView>
  </sheetViews>
  <sheetFormatPr baseColWidth="10" defaultColWidth="8.83203125" defaultRowHeight="13" x14ac:dyDescent="0.15"/>
  <cols>
    <col min="1" max="1" width="16.5" style="2" customWidth="1"/>
    <col min="2" max="2" width="10.83203125" customWidth="1"/>
    <col min="3" max="3" width="1" style="3" hidden="1" customWidth="1"/>
    <col min="4" max="4" width="8.33203125" customWidth="1"/>
    <col min="5" max="5" width="17" bestFit="1" customWidth="1"/>
    <col min="6" max="11" width="34.1640625" customWidth="1"/>
    <col min="12" max="15" width="17.83203125" hidden="1" customWidth="1"/>
  </cols>
  <sheetData>
    <row r="1" spans="1:26" ht="20" customHeight="1" x14ac:dyDescent="0.2">
      <c r="A1" s="102" t="s">
        <v>83</v>
      </c>
      <c r="B1" s="102"/>
      <c r="C1" s="102"/>
      <c r="D1" s="102"/>
      <c r="E1" s="102"/>
      <c r="F1" s="102"/>
      <c r="G1" s="102"/>
      <c r="H1" s="102"/>
      <c r="I1" s="77" t="s">
        <v>85</v>
      </c>
      <c r="Q1" s="101" t="s">
        <v>89</v>
      </c>
      <c r="R1" s="101"/>
      <c r="S1" s="101"/>
      <c r="T1" s="101"/>
      <c r="U1" s="101"/>
      <c r="V1" s="101"/>
      <c r="W1" s="101"/>
      <c r="X1" s="101"/>
      <c r="Y1" s="101"/>
      <c r="Z1" s="101"/>
    </row>
    <row r="2" spans="1:26" ht="13" customHeight="1" thickBot="1" x14ac:dyDescent="0.2">
      <c r="H2" s="83"/>
      <c r="I2" s="83"/>
      <c r="Q2" s="101"/>
      <c r="R2" s="101"/>
      <c r="S2" s="101"/>
      <c r="T2" s="101"/>
      <c r="U2" s="101"/>
      <c r="V2" s="101"/>
      <c r="W2" s="101"/>
      <c r="X2" s="101"/>
      <c r="Y2" s="101"/>
      <c r="Z2" s="101"/>
    </row>
    <row r="3" spans="1:26" s="95" customFormat="1" ht="13" customHeight="1" thickBot="1" x14ac:dyDescent="0.2">
      <c r="A3" s="93" t="s">
        <v>82</v>
      </c>
      <c r="B3" s="94" t="d">
        <v>2022-11-09</v>
      </c>
      <c r="H3" s="96"/>
      <c r="I3" s="96"/>
      <c r="Q3" s="101"/>
      <c r="R3" s="101"/>
      <c r="S3" s="101"/>
      <c r="T3" s="101"/>
      <c r="U3" s="101"/>
      <c r="V3" s="101"/>
      <c r="W3" s="101"/>
      <c r="X3" s="101"/>
      <c r="Y3" s="101"/>
      <c r="Z3" s="101"/>
    </row>
    <row r="4" spans="1:26" ht="13" customHeight="1" x14ac:dyDescent="0.15">
      <c r="A4" s="81" t="s">
        <v>86</v>
      </c>
      <c r="B4" s="92" t="d">
        <v>2023-05-27</v>
      </c>
      <c r="C4"/>
      <c r="H4" s="83"/>
      <c r="I4" s="83"/>
      <c r="Q4" s="101"/>
      <c r="R4" s="101"/>
      <c r="S4" s="101"/>
      <c r="T4" s="101"/>
      <c r="U4" s="101"/>
      <c r="V4" s="101"/>
      <c r="W4" s="101"/>
      <c r="X4" s="101"/>
      <c r="Y4" s="101"/>
      <c r="Z4" s="101"/>
    </row>
    <row r="5" spans="1:26" ht="14" thickBot="1" x14ac:dyDescent="0.2">
      <c r="H5" s="83"/>
      <c r="I5" s="83"/>
      <c r="Q5" s="101"/>
      <c r="R5" s="101"/>
      <c r="S5" s="101"/>
      <c r="T5" s="101"/>
      <c r="U5" s="101"/>
      <c r="V5" s="101"/>
      <c r="W5" s="101"/>
      <c r="X5" s="101"/>
      <c r="Y5" s="101"/>
      <c r="Z5" s="101"/>
    </row>
    <row r="6" spans="1:26" ht="18" x14ac:dyDescent="0.2">
      <c r="A6" s="11" t="s">
        <v>18</v>
      </c>
      <c r="B6" s="60">
        <v>600</v>
      </c>
      <c r="C6">
        <f>IF(Brevet_Length&gt;=1200,Brevet_Length,IF(Brevet_Length&gt;=1000,1000,IF(Brevet_Length&gt;=600,600,IF(Brevet_Length&gt;=400,400,IF(Brevet_Length&gt;=300,300,IF(Brevet_Length&gt;=200,200,100))))))</f>
        <v>600</v>
      </c>
      <c r="J6" s="106" t="s">
        <v>63</v>
      </c>
      <c r="K6" s="106"/>
      <c r="Q6" s="64" t="s">
        <v>64</v>
      </c>
      <c r="R6" s="64"/>
      <c r="S6" s="64"/>
      <c r="T6" s="64"/>
      <c r="U6" s="64"/>
      <c r="V6" s="64"/>
      <c r="W6" s="64"/>
    </row>
    <row r="7" spans="1:26" ht="14" thickBot="1" x14ac:dyDescent="0.2">
      <c r="A7" s="12" t="s">
        <v>19</v>
      </c>
      <c r="B7" s="13">
        <f>IF(brevet=1200,90,IF(brevet=1000,75,IF(brevet=600,40,IF(brevet=400,27,IF(brevet=300,20,IF(brevet=200,13.5,IF(brevet=100,7,0)))))))</f>
        <v>40</v>
      </c>
      <c r="Q7" t="s">
        <v>65</v>
      </c>
    </row>
    <row r="8" spans="1:26" ht="19" thickBot="1" x14ac:dyDescent="0.25">
      <c r="A8" s="12" t="s">
        <v>20</v>
      </c>
      <c r="B8" s="103" t="s">
        <v>134</v>
      </c>
      <c r="C8" s="104"/>
      <c r="D8" s="104"/>
      <c r="E8" s="104"/>
      <c r="F8" s="104"/>
      <c r="G8" s="104"/>
      <c r="H8" s="105"/>
      <c r="I8" s="24"/>
      <c r="J8" s="24"/>
      <c r="K8" s="24"/>
      <c r="Q8" s="64" t="s">
        <v>66</v>
      </c>
    </row>
    <row r="9" spans="1:26" ht="18" x14ac:dyDescent="0.2">
      <c r="A9" s="12" t="s">
        <v>21</v>
      </c>
      <c r="B9" s="61" t="s">
        <v>135</v>
      </c>
      <c r="C9" s="21"/>
      <c r="F9" s="22"/>
      <c r="G9" s="22"/>
      <c r="H9" s="22"/>
      <c r="I9" s="22"/>
      <c r="J9" s="22"/>
      <c r="K9" s="22"/>
      <c r="Q9" s="64" t="s">
        <v>67</v>
      </c>
    </row>
    <row r="10" spans="1:26" ht="18" x14ac:dyDescent="0.2">
      <c r="A10" s="43" t="s">
        <v>48</v>
      </c>
      <c r="B10" s="62" t="d">
        <v>2023-05-25</v>
      </c>
      <c r="Q10" s="64" t="s">
        <v>68</v>
      </c>
    </row>
    <row r="11" spans="1:26" ht="6" customHeight="1" x14ac:dyDescent="0.15">
      <c r="B11" s="84"/>
    </row>
    <row r="12" spans="1:26" ht="18" customHeight="1" thickBot="1" x14ac:dyDescent="0.25">
      <c r="A12" s="79" t="s">
        <v>22</v>
      </c>
      <c r="B12" s="80" t="d">
        <v>2023-05-25</v>
      </c>
      <c r="Q12" s="64" t="s">
        <v>76</v>
      </c>
    </row>
    <row r="13" spans="1:26" ht="19" thickBot="1" x14ac:dyDescent="0.25">
      <c r="A13" s="10" t="s">
        <v>23</v>
      </c>
      <c r="B13" s="63" t="d">
        <v>14:00:00.0000000000031950</v>
      </c>
      <c r="D13" s="98" t="s">
        <v>81</v>
      </c>
      <c r="E13" s="99"/>
      <c r="F13" s="99"/>
      <c r="G13" s="99"/>
      <c r="H13" s="99"/>
      <c r="I13" s="107" t="s">
        <v>71</v>
      </c>
      <c r="J13" s="99"/>
      <c r="K13" s="100"/>
      <c r="Q13" s="64" t="s">
        <v>75</v>
      </c>
    </row>
    <row r="14" spans="1:26" ht="14" thickBot="1" x14ac:dyDescent="0.2">
      <c r="D14" s="6" t="s">
        <v>24</v>
      </c>
      <c r="E14" s="7" t="s">
        <v>25</v>
      </c>
      <c r="F14" s="54" t="s">
        <v>26</v>
      </c>
      <c r="G14" s="54" t="s">
        <v>27</v>
      </c>
      <c r="H14" s="55" t="s">
        <v>28</v>
      </c>
      <c r="I14" s="7" t="s">
        <v>60</v>
      </c>
      <c r="J14" s="7" t="s">
        <v>61</v>
      </c>
      <c r="K14" s="8" t="s">
        <v>62</v>
      </c>
      <c r="L14" t="s">
        <v>3</v>
      </c>
      <c r="M14" t="s">
        <v>4</v>
      </c>
      <c r="N14" t="s">
        <v>5</v>
      </c>
      <c r="O14" t="s">
        <v>6</v>
      </c>
      <c r="Q14" s="64" t="s">
        <v>69</v>
      </c>
    </row>
    <row r="15" spans="1:26" ht="17" customHeight="1" x14ac:dyDescent="0.15">
      <c r="C15" s="3" t="s">
        <v>7</v>
      </c>
      <c r="D15" s="97">
        <v>0</v>
      </c>
      <c r="E15" s="66" t="s">
        <v>93</v>
      </c>
      <c r="F15" s="67" t="s">
        <v>94</v>
      </c>
      <c r="G15" s="67" t="s">
        <v>95</v>
      </c>
      <c r="H15" s="68"/>
      <c r="I15" s="67"/>
      <c r="J15" s="67"/>
      <c r="K15" s="68"/>
      <c r="L15" s="4" t="d">
        <f>Start_date+Start_time</f>
        <v>2023-05-25T14:00:00.00000020954757600</v>
      </c>
      <c r="M15" s="4" t="d">
        <f>L15+"1:00"</f>
        <v>2023-05-25T15:00:00.000</v>
      </c>
      <c r="N15" s="5" t="d">
        <f>IF(ISBLANK(Distance),"",Open Control_1)</f>
        <v>2023-05-25T14:00:00.00000020954757600</v>
      </c>
      <c r="O15" s="5" t="d">
        <f>IF(ISBLANK(Distance),"",Close Control_1)</f>
        <v>2023-05-25T15:00:00.000</v>
      </c>
      <c r="Q15" s="64" t="s">
        <v>84</v>
      </c>
    </row>
    <row r="16" spans="1:26" ht="17" customHeight="1" x14ac:dyDescent="0.15">
      <c r="B16" s="72"/>
      <c r="C16" s="3" t="s">
        <v>8</v>
      </c>
      <c r="D16" s="23">
        <v>44.8</v>
      </c>
      <c r="E16" s="66" t="s">
        <v>91</v>
      </c>
      <c r="F16" s="67" t="s">
        <v>96</v>
      </c>
      <c r="G16" s="67" t="s">
        <v>109</v>
      </c>
      <c r="H16" s="68"/>
      <c r="I16" s="67"/>
      <c r="J16" s="67"/>
      <c r="K16" s="68"/>
      <c r="L16">
        <f>IF(ISBLANK(Distance),"",IF(Distance&gt;1000,(Distance-1000)/26+33.0847,(IF(Distance&gt;600,(Distance-600)/28+18.799,(IF(Distance&gt;400,(Distance-400)/30+12.1324,(IF(Distance&gt;200,(Distance-200)/32+5.8824,Distance/34))))))))</f>
        <v>1.3176470588235294</v>
      </c>
      <c r="M16">
        <f t="shared" ref="M16:M24" si="0">IF(ISBLANK(Distance),"",IF(Distance&gt;=brevet,IF(brevet&gt;1200,(brevet-1200)*75/1000+90,Max_time),IF(Distance&gt;1200,(Distance-1200)*75/1000+90,IF(Distance&gt;1000,(Distance-1000)/(1000/75)+75,IF(Distance&gt;600,(Distance-600)/(400/35)+40,IF(Distance&lt;=60,(Distance/20+1),Distance/15))))))</f>
        <v>3.2399999999999998</v>
      </c>
      <c r="N16" s="5" t="d">
        <f>IF(ISBLANK(Distance),"",Open_time Control_1+(INT(Open)&amp;":"&amp;IF(ROUND(((Open-INT(Open))*60),0)&lt;10,0,"")&amp;ROUND(((Open-INT(Open))*60),0)))</f>
        <v>2023-05-25T15:18:59.99999994412064550</v>
      </c>
      <c r="O16" s="5" t="d">
        <f>IF(ISBLANK(Distance),"",Open_time Control_1+(INT(Close)&amp;":"&amp;IF(ROUND(((Close-INT(Close))*60),0)&lt;10,0,"")&amp;ROUND(((Close-INT(Close))*60),0)))</f>
        <v>2023-05-25T17:14:00.00000043306499400</v>
      </c>
      <c r="Q16" s="64" t="s">
        <v>70</v>
      </c>
    </row>
    <row r="17" spans="2:17" ht="17" customHeight="1" x14ac:dyDescent="0.15">
      <c r="B17" s="72"/>
      <c r="C17" s="3" t="s">
        <v>9</v>
      </c>
      <c r="D17" s="23">
        <v>71.8</v>
      </c>
      <c r="E17" s="66" t="s">
        <v>97</v>
      </c>
      <c r="F17" s="67" t="s">
        <v>98</v>
      </c>
      <c r="G17" s="67" t="s">
        <v>99</v>
      </c>
      <c r="H17" s="68"/>
      <c r="I17" s="67"/>
      <c r="J17" s="67"/>
      <c r="K17" s="68"/>
      <c r="L17">
        <f>IF(ISBLANK(Distance),"",IF(Distance&gt;1000,(Distance-1000)/26+33.0847,(IF(Distance&gt;600,(Distance-600)/28+18.799,(IF(Distance&gt;400,(Distance-400)/30+12.1324,(IF(Distance&gt;200,(Distance-200)/32+5.8824,Distance/34))))))))</f>
        <v>2.111764705882353</v>
      </c>
      <c r="M17">
        <f t="shared" si="0"/>
        <v>4.7866666666666662</v>
      </c>
      <c r="N17" s="5" t="d">
        <f>IF(ISBLANK(Distance),"",Open_time Control_1+(INT(Open)&amp;":"&amp;IF(ROUND(((Open-INT(Open))*60),0)&lt;10,0,"")&amp;ROUND(((Open-INT(Open))*60),0)))</f>
        <v>2023-05-25T16:06:59.99999990221113300</v>
      </c>
      <c r="O17" s="5" t="d">
        <f>IF(ISBLANK(Distance),"",Open_time Control_1+(INT(Close)&amp;":"&amp;IF(ROUND(((Close-INT(Close))*60),0)&lt;10,0,"")&amp;ROUND(((Close-INT(Close))*60),0)))</f>
        <v>2023-05-25T18:47:00.00000039115548150</v>
      </c>
    </row>
    <row r="18" spans="2:17" ht="17" customHeight="1" x14ac:dyDescent="0.15">
      <c r="B18" s="72"/>
      <c r="C18" s="3" t="s">
        <v>10</v>
      </c>
      <c r="D18" s="23">
        <v>166.1</v>
      </c>
      <c r="E18" s="66" t="s">
        <v>100</v>
      </c>
      <c r="F18" s="67" t="s">
        <v>101</v>
      </c>
      <c r="G18" s="67" t="s">
        <v>102</v>
      </c>
      <c r="H18" s="68"/>
      <c r="I18" s="67"/>
      <c r="J18" s="67"/>
      <c r="K18" s="68"/>
      <c r="L18">
        <f t="shared" ref="L18:L24" si="1">IF(ISBLANK(Distance),"",IF(Distance&gt;1000,(Distance-1000)/26+33.0847,(IF(Distance&gt;600,(Distance-600)/28+18.799,(IF(Distance&gt;400,(Distance-400)/30+12.1324,(IF(Distance&gt;200,(Distance-200)/32+5.8824,Distance/34))))))))</f>
        <v>4.8852941176470583</v>
      </c>
      <c r="M18">
        <f t="shared" si="0"/>
        <v>11.073333333333332</v>
      </c>
      <c r="N18" s="5" t="d">
        <f>IF(ISBLANK(Distance),"",Open_time Control_1+(INT(Open)&amp;":"&amp;IF(ROUND(((Open-INT(Open))*60),0)&lt;10,0,"")&amp;ROUND(((Open-INT(Open))*60),0)))</f>
        <v>2023-05-25T18:53:00.00000030733644975</v>
      </c>
      <c r="O18" s="5" t="d">
        <f>IF(ISBLANK(Distance),"",Open_time Control_1+(INT(Close)&amp;":"&amp;IF(ROUND(((Close-INT(Close))*60),0)&lt;10,0,"")&amp;ROUND(((Close-INT(Close))*60),0)))</f>
        <v>2023-05-26T01:03:59.99999994412064550</v>
      </c>
    </row>
    <row r="19" spans="2:17" ht="17" customHeight="1" x14ac:dyDescent="0.15">
      <c r="B19" s="72"/>
      <c r="C19" s="3" t="s">
        <v>11</v>
      </c>
      <c r="D19" s="23">
        <v>254.2</v>
      </c>
      <c r="E19" s="66" t="s">
        <v>103</v>
      </c>
      <c r="F19" s="67" t="s">
        <v>104</v>
      </c>
      <c r="G19" s="67" t="s">
        <v>105</v>
      </c>
      <c r="H19" s="68"/>
      <c r="I19" s="67"/>
      <c r="J19" s="67"/>
      <c r="K19" s="68"/>
      <c r="L19">
        <f t="shared" si="1"/>
        <v>7.5761499999999993</v>
      </c>
      <c r="M19">
        <f t="shared" si="0"/>
        <v>16.946666666666665</v>
      </c>
      <c r="N19" s="5" t="d">
        <f>IF(ISBLANK(Distance),"",Open_time Control_1+(INT(Open)&amp;":"&amp;IF(ROUND(((Open-INT(Open))*60),0)&lt;10,0,"")&amp;ROUND(((Open-INT(Open))*60),0)))</f>
        <v>2023-05-25T21:34:59.99999993015081025</v>
      </c>
      <c r="O19" s="5" t="d">
        <f>IF(ISBLANK(Distance),"",Open_time Control_1+(INT(Close)&amp;":"&amp;IF(ROUND(((Close-INT(Close))*60),0)&lt;10,0,"")&amp;ROUND(((Close-INT(Close))*60),0)))</f>
        <v>2023-05-26T06:57:00.000000461004674625</v>
      </c>
      <c r="Q19" s="77"/>
    </row>
    <row r="20" spans="2:17" ht="17" customHeight="1" x14ac:dyDescent="0.15">
      <c r="B20" s="72"/>
      <c r="C20" s="3" t="s">
        <v>12</v>
      </c>
      <c r="D20" s="23">
        <v>287.39999999999998</v>
      </c>
      <c r="E20" s="66" t="s">
        <v>106</v>
      </c>
      <c r="F20" s="67" t="s">
        <v>107</v>
      </c>
      <c r="G20" s="67"/>
      <c r="H20" s="68"/>
      <c r="I20" s="67"/>
      <c r="J20" s="67"/>
      <c r="K20" s="68"/>
      <c r="L20">
        <f t="shared" si="1"/>
        <v>8.6136499999999998</v>
      </c>
      <c r="M20">
        <f t="shared" si="0"/>
        <v>19.16</v>
      </c>
      <c r="N20" s="5" t="d">
        <f>IF(ISBLANK(Distance),"",Open_time Control_1+(INT(Open)&amp;":"&amp;IF(ROUND(((Open-INT(Open))*60),0)&lt;10,0,"")&amp;ROUND(((Open-INT(Open))*60),0)))</f>
        <v>2023-05-25T22:37:00.00000011175870900</v>
      </c>
      <c r="O20" s="5" t="d">
        <f>IF(ISBLANK(Distance),"",Open_time Control_1+(INT(Close)&amp;":"&amp;IF(ROUND(((Close-INT(Close))*60),0)&lt;10,0,"")&amp;ROUND(((Close-INT(Close))*60),0)))</f>
        <v>2023-05-26T09:10:00.00000006984918975</v>
      </c>
    </row>
    <row r="21" spans="2:17" ht="17" customHeight="1" x14ac:dyDescent="0.15">
      <c r="B21" s="72"/>
      <c r="C21" s="3" t="s">
        <v>13</v>
      </c>
      <c r="D21" s="23">
        <v>318.60000000000002</v>
      </c>
      <c r="E21" s="66" t="s">
        <v>116</v>
      </c>
      <c r="F21" s="67" t="s">
        <v>108</v>
      </c>
      <c r="G21" s="67" t="s">
        <v>109</v>
      </c>
      <c r="H21" s="68"/>
      <c r="I21" s="67"/>
      <c r="J21" s="67"/>
      <c r="K21" s="68"/>
      <c r="L21">
        <f t="shared" si="1"/>
        <v>9.5886500000000012</v>
      </c>
      <c r="M21">
        <f t="shared" si="0"/>
        <v>21.240000000000002</v>
      </c>
      <c r="N21" s="5" t="d">
        <f>IF(ISBLANK(Distance),"",Open_time Control_1+(INT(Open)&amp;":"&amp;IF(ROUND(((Open-INT(Open))*60),0)&lt;10,0,"")&amp;ROUND(((Open-INT(Open))*60),0)))</f>
        <v>2023-05-25T23:35:00.00000013969838625</v>
      </c>
      <c r="O21" s="5" t="d">
        <f>IF(ISBLANK(Distance),"",Open_time Control_1+(INT(Close)&amp;":"&amp;IF(ROUND(((Close-INT(Close))*60),0)&lt;10,0,"")&amp;ROUND(((Close-INT(Close))*60),0)))</f>
        <v>2023-05-26T11:14:00.00000043306499400</v>
      </c>
    </row>
    <row r="22" spans="2:17" ht="17" customHeight="1" x14ac:dyDescent="0.15">
      <c r="B22" s="72"/>
      <c r="C22" s="3" t="s">
        <v>14</v>
      </c>
      <c r="D22" s="23">
        <v>366.6</v>
      </c>
      <c r="E22" s="66" t="s">
        <v>110</v>
      </c>
      <c r="F22" s="67" t="s">
        <v>111</v>
      </c>
      <c r="G22" s="67" t="s">
        <v>109</v>
      </c>
      <c r="H22" s="68"/>
      <c r="I22" s="67"/>
      <c r="J22" s="67"/>
      <c r="K22" s="68"/>
      <c r="L22">
        <f t="shared" si="1"/>
        <v>11.088650000000001</v>
      </c>
      <c r="M22">
        <f t="shared" si="0"/>
        <v>24.44</v>
      </c>
      <c r="N22" s="5" t="d">
        <f>IF(ISBLANK(Distance),"",Open_time Control_1+(INT(Open)&amp;":"&amp;IF(ROUND(((Open-INT(Open))*60),0)&lt;10,0,"")&amp;ROUND(((Open-INT(Open))*60),0)))</f>
        <v>2023-05-26T01:05:00.00000013969838625</v>
      </c>
      <c r="O22" s="5" t="d">
        <f>IF(ISBLANK(Distance),"",Open_time Control_1+(INT(Close)&amp;":"&amp;IF(ROUND(((Close-INT(Close))*60),0)&lt;10,0,"")&amp;ROUND(((Close-INT(Close))*60),0)))</f>
        <v>2023-05-26T14:26:00.00000026542693050</v>
      </c>
    </row>
    <row r="23" spans="2:17" ht="17" customHeight="1" thickBot="1" x14ac:dyDescent="0.2">
      <c r="B23" s="72"/>
      <c r="C23" s="3" t="s">
        <v>15</v>
      </c>
      <c r="D23" s="47">
        <v>400.3</v>
      </c>
      <c r="E23" s="69" t="s">
        <v>112</v>
      </c>
      <c r="F23" s="70" t="s">
        <v>113</v>
      </c>
      <c r="G23" s="70" t="s">
        <v>114</v>
      </c>
      <c r="H23" s="71" t="s">
        <v>109</v>
      </c>
      <c r="I23" s="67"/>
      <c r="J23" s="67"/>
      <c r="K23" s="68"/>
      <c r="L23">
        <f t="shared" si="1"/>
        <v>12.1424</v>
      </c>
      <c r="M23">
        <f t="shared" si="0"/>
        <v>26.686666666666667</v>
      </c>
      <c r="N23" s="5" t="d">
        <f>IF(ISBLANK(Distance),"",Open_time Control_1+(INT(Open)&amp;":"&amp;IF(ROUND(((Open-INT(Open))*60),0)&lt;10,0,"")&amp;ROUND(((Open-INT(Open))*60),0)))</f>
        <v>2023-05-26T02:09:00.00000008381903175</v>
      </c>
      <c r="O23" s="5" t="d">
        <f>IF(ISBLANK(Distance),"",Open_time Control_1+(INT(Close)&amp;":"&amp;IF(ROUND(((Close-INT(Close))*60),0)&lt;10,0,"")&amp;ROUND(((Close-INT(Close))*60),0)))</f>
        <v>2023-05-26T16:41:00.00000026542693050</v>
      </c>
    </row>
    <row r="24" spans="2:17" ht="17" customHeight="1" thickBot="1" x14ac:dyDescent="0.2">
      <c r="B24" s="72"/>
      <c r="C24" s="3" t="s">
        <v>16</v>
      </c>
      <c r="D24" s="23">
        <v>406.9</v>
      </c>
      <c r="E24" s="66" t="s">
        <v>115</v>
      </c>
      <c r="F24" s="67" t="s">
        <v>117</v>
      </c>
      <c r="G24" s="67"/>
      <c r="H24" s="68"/>
      <c r="I24" s="70"/>
      <c r="J24" s="70"/>
      <c r="K24" s="71"/>
      <c r="L24">
        <f t="shared" si="1"/>
        <v>12.362399999999999</v>
      </c>
      <c r="M24">
        <f t="shared" si="0"/>
        <v>27.126666666666665</v>
      </c>
      <c r="N24" s="5" t="d">
        <f>IF(ISBLANK(Distance),"",Open_time Control_1+(INT(Open)&amp;":"&amp;IF(ROUND(((Open-INT(Open))*60),0)&lt;10,0,"")&amp;ROUND(((Open-INT(Open))*60),0)))</f>
        <v>2023-05-26T02:22:00.00000011175870900</v>
      </c>
      <c r="O24" s="5" t="d">
        <f>IF(ISBLANK(Distance),"",Open_time Control_1+(INT(Close)&amp;":"&amp;IF(ROUND(((Close-INT(Close))*60),0)&lt;10,0,"")&amp;ROUND(((Close-INT(Close))*60),0)))</f>
        <v>2023-05-26T17:08:00.00000051688402575</v>
      </c>
    </row>
    <row r="25" spans="2:17" ht="7" customHeight="1" thickBot="1" x14ac:dyDescent="0.25">
      <c r="D25" s="56"/>
      <c r="E25" s="57"/>
      <c r="F25" s="58"/>
      <c r="G25" s="58"/>
      <c r="H25" s="58"/>
      <c r="I25" s="58"/>
      <c r="J25" s="58"/>
      <c r="K25" s="59"/>
      <c r="N25" s="5"/>
      <c r="O25" s="5"/>
    </row>
    <row r="26" spans="2:17" ht="14" thickBot="1" x14ac:dyDescent="0.2">
      <c r="D26" s="98" t="s">
        <v>77</v>
      </c>
      <c r="E26" s="99"/>
      <c r="F26" s="99"/>
      <c r="G26" s="99"/>
      <c r="H26" s="99"/>
      <c r="I26" s="107" t="s">
        <v>72</v>
      </c>
      <c r="J26" s="99"/>
      <c r="K26" s="100"/>
    </row>
    <row r="27" spans="2:17" ht="14" thickBot="1" x14ac:dyDescent="0.2">
      <c r="D27" s="6" t="s">
        <v>24</v>
      </c>
      <c r="E27" s="7" t="s">
        <v>25</v>
      </c>
      <c r="F27" s="54" t="s">
        <v>26</v>
      </c>
      <c r="G27" s="54" t="s">
        <v>27</v>
      </c>
      <c r="H27" s="55" t="s">
        <v>28</v>
      </c>
      <c r="I27" s="7" t="s">
        <v>60</v>
      </c>
      <c r="J27" s="7" t="s">
        <v>61</v>
      </c>
      <c r="K27" s="8" t="s">
        <v>62</v>
      </c>
      <c r="L27" t="s">
        <v>3</v>
      </c>
      <c r="M27" t="s">
        <v>4</v>
      </c>
      <c r="N27" t="s">
        <v>5</v>
      </c>
      <c r="O27" t="s">
        <v>6</v>
      </c>
    </row>
    <row r="28" spans="2:17" ht="17" customHeight="1" x14ac:dyDescent="0.15">
      <c r="D28" s="23">
        <v>457.6</v>
      </c>
      <c r="E28" s="66" t="s">
        <v>133</v>
      </c>
      <c r="F28" s="67" t="s">
        <v>118</v>
      </c>
      <c r="G28" s="67" t="s">
        <v>119</v>
      </c>
      <c r="H28" s="68"/>
      <c r="I28" s="67"/>
      <c r="J28" s="67"/>
      <c r="K28" s="68"/>
      <c r="L28">
        <f>IF(ISBLANK(D28),"",IF(D28&gt;1000,(D28-1000)/26+33.0847,(IF(D28&gt;600,(D28-600)/28+18.799,(IF(D28&gt;400,(D28-400)/30+12.1324,(IF(D28&gt;200,(D28-200)/32+5.8824,D28/34))))))))</f>
        <v>14.052400000000002</v>
      </c>
      <c r="M28">
        <f t="shared" ref="M28:M37" si="2">IF(ISBLANK(D28),"",IF((D28=0),1,IF(D28&gt;=brevet,IF(brevet&gt;1200,(brevet-1200)*75/1000+90,Max_time),IF(D28&gt;1200,(D28-1200)*75/1000+90,IF(D28&gt;1000,(D28-1000)/(1000/75)+75,IF(D28&gt;600,(D28-600)/(400/35)+40,IF(D28&lt;=60,D28/20+1,D28/15)))))))</f>
        <v>30.506666666666668</v>
      </c>
      <c r="N28" s="5" t="d">
        <f>IF(ISBLANK(D28),"",Open_time Control_1+(INT(L28)&amp;":"&amp;IF(ROUND(((L28-INT(L28))*60),0)&lt;10,0,"")&amp;ROUND(((L28-INT(L28))*60),0)))</f>
        <v>2023-05-26T04:03:00.00000037718563950</v>
      </c>
      <c r="O28" s="5" t="d">
        <f>IF(ISBLANK(D28),"",Open_time Control_1+(INT(M28)&amp;":"&amp;IF(ROUND(((M28-INT(M28))*60),0)&lt;10,0,"")&amp;ROUND(((M28-INT(M28))*60),0)))</f>
        <v>2023-05-26T20:30:00.00000041909515875</v>
      </c>
    </row>
    <row r="29" spans="2:17" ht="17" customHeight="1" x14ac:dyDescent="0.15">
      <c r="D29" s="23">
        <v>489.1</v>
      </c>
      <c r="E29" s="66" t="s">
        <v>120</v>
      </c>
      <c r="F29" s="67" t="s">
        <v>121</v>
      </c>
      <c r="G29" s="67"/>
      <c r="H29" s="68"/>
      <c r="I29" s="67"/>
      <c r="J29" s="67"/>
      <c r="K29" s="68"/>
      <c r="L29">
        <f t="shared" ref="L29:L37" si="3">IF(ISBLANK(D29),"",IF(D29&gt;1000,(D29-1000)/26+33.0847,(IF(D29&gt;600,(D29-600)/28+18.799,(IF(D29&gt;400,(D29-400)/30+12.1324,(IF(D29&gt;200,(D29-200)/32+5.8824,D29/34))))))))</f>
        <v>15.102400000000001</v>
      </c>
      <c r="M29">
        <f t="shared" si="2"/>
        <v>32.606666666666669</v>
      </c>
      <c r="N29" s="5" t="d">
        <f>IF(ISBLANK(D29),"",Open_time Control_1+(INT(L29)&amp;":"&amp;IF(ROUND(((L29-INT(L29))*60),0)&lt;10,0,"")&amp;ROUND(((L29-INT(L29))*60),0)))</f>
        <v>2023-05-26T05:06:00.00000012572854425</v>
      </c>
      <c r="O29" s="5" t="d">
        <f>IF(ISBLANK(D29),"",Open_time Control_1+(INT(M29)&amp;":"&amp;IF(ROUND(((M29-INT(M29))*60),0)&lt;10,0,"")&amp;ROUND(((M29-INT(M29))*60),0)))</f>
        <v>2023-05-26T22:35:59.99999991618096825</v>
      </c>
    </row>
    <row r="30" spans="2:17" ht="17" customHeight="1" x14ac:dyDescent="0.15">
      <c r="D30" s="23">
        <v>523.4</v>
      </c>
      <c r="E30" s="66" t="s">
        <v>122</v>
      </c>
      <c r="F30" s="67" t="s">
        <v>123</v>
      </c>
      <c r="G30" s="67" t="s">
        <v>124</v>
      </c>
      <c r="H30" s="68" t="s">
        <v>109</v>
      </c>
      <c r="I30" s="67"/>
      <c r="J30" s="67"/>
      <c r="K30" s="68"/>
      <c r="L30">
        <f t="shared" si="3"/>
        <v>16.245733333333334</v>
      </c>
      <c r="M30">
        <f t="shared" si="2"/>
        <v>34.893333333333331</v>
      </c>
      <c r="N30" s="5" t="d">
        <f>IF(ISBLANK(D30),"",Open_time Control_1+(INT(L30)&amp;":"&amp;IF(ROUND(((L30-INT(L30))*60),0)&lt;10,0,"")&amp;ROUND(((L30-INT(L30))*60),0)))</f>
        <v>2023-05-26T06:15:00.00000041909515875</v>
      </c>
      <c r="O30" s="5" t="d">
        <f>IF(ISBLANK(D30),"",Open_time Control_1+(INT(M30)&amp;":"&amp;IF(ROUND(((M30-INT(M30))*60),0)&lt;10,0,"")&amp;ROUND(((M30-INT(M30))*60),0)))</f>
        <v>2023-05-27T00:54:00.00000050291419050</v>
      </c>
    </row>
    <row r="31" spans="2:17" ht="17" customHeight="1" x14ac:dyDescent="0.15">
      <c r="D31" s="23">
        <v>552</v>
      </c>
      <c r="E31" s="66" t="s">
        <v>92</v>
      </c>
      <c r="F31" s="67" t="s">
        <v>125</v>
      </c>
      <c r="G31" s="67" t="s">
        <v>126</v>
      </c>
      <c r="H31" s="68" t="s">
        <v>105</v>
      </c>
      <c r="I31" s="67"/>
      <c r="J31" s="67"/>
      <c r="K31" s="68"/>
      <c r="L31">
        <f t="shared" si="3"/>
        <v>17.199066666666667</v>
      </c>
      <c r="M31">
        <f t="shared" si="2"/>
        <v>36.799999999999997</v>
      </c>
      <c r="N31" s="5" t="d">
        <f>IF(ISBLANK(D31),"",Open_time Control_1+(INT(L31)&amp;":"&amp;IF(ROUND(((L31-INT(L31))*60),0)&lt;10,0,"")&amp;ROUND(((L31-INT(L31))*60),0)))</f>
        <v>2023-05-26T07:12:00.00000025145709525</v>
      </c>
      <c r="O31" s="5" t="d">
        <f>IF(ISBLANK(D31),"",Open_time Control_1+(INT(M31)&amp;":"&amp;IF(ROUND(((M31-INT(M31))*60),0)&lt;10,0,"")&amp;ROUND(((M31-INT(M31))*60),0)))</f>
        <v>2023-05-27T02:48:00.00000016763806350</v>
      </c>
    </row>
    <row r="32" spans="2:17" ht="17" customHeight="1" x14ac:dyDescent="0.15">
      <c r="D32" s="23">
        <v>574.9</v>
      </c>
      <c r="E32" s="66" t="s">
        <v>127</v>
      </c>
      <c r="F32" s="67" t="s">
        <v>128</v>
      </c>
      <c r="G32" s="67" t="s">
        <v>129</v>
      </c>
      <c r="H32" s="68" t="s">
        <v>109</v>
      </c>
      <c r="I32" s="67"/>
      <c r="J32" s="67"/>
      <c r="K32" s="68"/>
      <c r="L32">
        <f t="shared" si="3"/>
        <v>17.962399999999999</v>
      </c>
      <c r="M32">
        <f t="shared" si="2"/>
        <v>38.326666666666668</v>
      </c>
      <c r="N32" s="5" t="d">
        <f>IF(ISBLANK(D32),"",Open_time Control_1+(INT(L32)&amp;":"&amp;IF(ROUND(((L32-INT(L32))*60),0)&lt;10,0,"")&amp;ROUND(((L32-INT(L32))*60),0)))</f>
        <v>2023-05-26T07:58:00.00000044703483600</v>
      </c>
      <c r="O32" s="5" t="d">
        <f>IF(ISBLANK(D32),"",Open_time Control_1+(INT(M32)&amp;":"&amp;IF(ROUND(((M32-INT(M32))*60),0)&lt;10,0,"")&amp;ROUND(((M32-INT(M32))*60),0)))</f>
        <v>2023-05-27T04:19:59.99999993015081025</v>
      </c>
    </row>
    <row r="33" spans="4:15" ht="17" customHeight="1" x14ac:dyDescent="0.15">
      <c r="D33" s="23">
        <v>592.9</v>
      </c>
      <c r="E33" s="66" t="s">
        <v>130</v>
      </c>
      <c r="F33" s="67" t="s">
        <v>131</v>
      </c>
      <c r="G33" s="67" t="s">
        <v>132</v>
      </c>
      <c r="H33" s="68" t="s">
        <v>105</v>
      </c>
      <c r="I33" s="67"/>
      <c r="J33" s="67"/>
      <c r="K33" s="68"/>
      <c r="L33">
        <f t="shared" si="3"/>
        <v>18.5624</v>
      </c>
      <c r="M33">
        <f t="shared" si="2"/>
        <v>39.526666666666664</v>
      </c>
      <c r="N33" s="5" t="d">
        <f>IF(ISBLANK(D33),"",Open_time Control_1+(INT(L33)&amp;":"&amp;IF(ROUND(((L33-INT(L33))*60),0)&lt;10,0,"")&amp;ROUND(((L33-INT(L33))*60),0)))</f>
        <v>2023-05-26T08:33:59.99999994412064550</v>
      </c>
      <c r="O33" s="5" t="d">
        <f>IF(ISBLANK(D33),"",Open_time Control_1+(INT(M33)&amp;":"&amp;IF(ROUND(((M33-INT(M33))*60),0)&lt;10,0,"")&amp;ROUND(((M33-INT(M33))*60),0)))</f>
        <v>2023-05-27T05:32:00.00000018160789875</v>
      </c>
    </row>
    <row r="34" spans="4:15" ht="17" customHeight="1" x14ac:dyDescent="0.15">
      <c r="D34" s="23">
        <v>601.70000000000005</v>
      </c>
      <c r="E34" s="66" t="s">
        <v>93</v>
      </c>
      <c r="F34" s="67" t="s">
        <v>94</v>
      </c>
      <c r="G34" s="67" t="s">
        <v>95</v>
      </c>
      <c r="H34" s="68" t="s">
        <v>105</v>
      </c>
      <c r="I34" s="67"/>
      <c r="J34" s="67"/>
      <c r="K34" s="68"/>
      <c r="L34">
        <f t="shared" si="3"/>
        <v>18.859714285714286</v>
      </c>
      <c r="M34">
        <f t="shared" si="2"/>
        <v>40</v>
      </c>
      <c r="N34" s="5" t="d">
        <f>IF(ISBLANK(D34),"",Open_time Control_1+(INT(L34)&amp;":"&amp;IF(ROUND(((L34-INT(L34))*60),0)&lt;10,0,"")&amp;ROUND(((L34-INT(L34))*60),0)))</f>
        <v>2023-05-26T08:52:00.0000003213062850</v>
      </c>
      <c r="O34" s="5" t="d">
        <f>IF(ISBLANK(D34),"",Open_time Control_1+(INT(M34)&amp;":"&amp;IF(ROUND(((M34-INT(M34))*60),0)&lt;10,0,"")&amp;ROUND(((M34-INT(M34))*60),0)))</f>
        <v>2023-05-27T06:00:00.000</v>
      </c>
    </row>
    <row r="35" spans="4:15" ht="17" customHeight="1" x14ac:dyDescent="0.15">
      <c r="D35" s="23"/>
      <c r="E35" s="66"/>
      <c r="F35" s="67"/>
      <c r="G35" s="67"/>
      <c r="H35" s="68"/>
      <c r="I35" s="67"/>
      <c r="J35" s="67"/>
      <c r="K35" s="68"/>
      <c r="L35" t="str">
        <f t="shared" si="3"/>
        <v/>
      </c>
      <c r="M35" t="str">
        <f t="shared" si="2"/>
        <v/>
      </c>
      <c r="N35" s="5" t="str">
        <f>IF(ISBLANK(D35),"",Open_time Control_1+(INT(L35)&amp;":"&amp;IF(ROUND(((L35-INT(L35))*60),0)&lt;10,0,"")&amp;ROUND(((L35-INT(L35))*60),0)))</f>
        <v/>
      </c>
      <c r="O35" s="5" t="str">
        <f>IF(ISBLANK(D35),"",Open_time Control_1+(INT(M35)&amp;":"&amp;IF(ROUND(((M35-INT(M35))*60),0)&lt;10,0,"")&amp;ROUND(((M35-INT(M35))*60),0)))</f>
        <v/>
      </c>
    </row>
    <row r="36" spans="4:15" ht="17" customHeight="1" x14ac:dyDescent="0.15">
      <c r="D36" s="23"/>
      <c r="E36" s="66"/>
      <c r="F36" s="67"/>
      <c r="G36" s="67"/>
      <c r="H36" s="68"/>
      <c r="I36" s="67"/>
      <c r="J36" s="67"/>
      <c r="K36" s="68"/>
      <c r="L36" t="str">
        <f t="shared" si="3"/>
        <v/>
      </c>
      <c r="M36" t="str">
        <f t="shared" si="2"/>
        <v/>
      </c>
      <c r="N36" s="5" t="str">
        <f>IF(ISBLANK(D36),"",Open_time Control_1+(INT(L36)&amp;":"&amp;IF(ROUND(((L36-INT(L36))*60),0)&lt;10,0,"")&amp;ROUND(((L36-INT(L36))*60),0)))</f>
        <v/>
      </c>
      <c r="O36" s="5" t="str">
        <f>IF(ISBLANK(D36),"",Open_time Control_1+(INT(M36)&amp;":"&amp;IF(ROUND(((M36-INT(M36))*60),0)&lt;10,0,"")&amp;ROUND(((M36-INT(M36))*60),0)))</f>
        <v/>
      </c>
    </row>
    <row r="37" spans="4:15" ht="17" customHeight="1" thickBot="1" x14ac:dyDescent="0.2">
      <c r="D37" s="47"/>
      <c r="E37" s="69"/>
      <c r="F37" s="70"/>
      <c r="G37" s="70"/>
      <c r="H37" s="71"/>
      <c r="I37" s="70"/>
      <c r="J37" s="70"/>
      <c r="K37" s="71"/>
      <c r="L37" t="str">
        <f t="shared" si="3"/>
        <v/>
      </c>
      <c r="M37" t="str">
        <f t="shared" si="2"/>
        <v/>
      </c>
      <c r="N37" s="5" t="str">
        <f>IF(ISBLANK(D37),"",Open_time Control_1+(INT(L37)&amp;":"&amp;IF(ROUND(((L37-INT(L37))*60),0)&lt;10,0,"")&amp;ROUND(((L37-INT(L37))*60),0)))</f>
        <v/>
      </c>
      <c r="O37" s="5" t="str">
        <f>IF(ISBLANK(D37),"",Open_time Control_1+(INT(M37)&amp;":"&amp;IF(ROUND(((M37-INT(M37))*60),0)&lt;10,0,"")&amp;ROUND(((M37-INT(M37))*60),0)))</f>
        <v/>
      </c>
    </row>
    <row r="38" spans="4:15" ht="7" customHeight="1" thickBot="1" x14ac:dyDescent="0.25">
      <c r="D38" s="56"/>
      <c r="E38" s="57"/>
      <c r="F38" s="58"/>
      <c r="G38" s="58"/>
      <c r="H38" s="58"/>
      <c r="I38" s="58"/>
      <c r="J38" s="58"/>
      <c r="K38" s="59"/>
      <c r="N38" s="5"/>
      <c r="O38" s="5"/>
    </row>
    <row r="39" spans="4:15" ht="14" thickBot="1" x14ac:dyDescent="0.2">
      <c r="D39" s="98" t="s">
        <v>79</v>
      </c>
      <c r="E39" s="99"/>
      <c r="F39" s="99"/>
      <c r="G39" s="99"/>
      <c r="H39" s="99"/>
      <c r="I39" s="98" t="s">
        <v>78</v>
      </c>
      <c r="J39" s="99"/>
      <c r="K39" s="100"/>
    </row>
    <row r="40" spans="4:15" ht="14" thickBot="1" x14ac:dyDescent="0.2">
      <c r="D40" s="6" t="s">
        <v>24</v>
      </c>
      <c r="E40" s="7" t="s">
        <v>25</v>
      </c>
      <c r="F40" s="54" t="s">
        <v>26</v>
      </c>
      <c r="G40" s="54" t="s">
        <v>27</v>
      </c>
      <c r="H40" s="78" t="s">
        <v>28</v>
      </c>
      <c r="I40" s="7" t="s">
        <v>60</v>
      </c>
      <c r="J40" s="7" t="s">
        <v>61</v>
      </c>
      <c r="K40" s="8" t="s">
        <v>62</v>
      </c>
      <c r="L40" t="s">
        <v>3</v>
      </c>
      <c r="M40" t="s">
        <v>4</v>
      </c>
      <c r="N40" t="s">
        <v>5</v>
      </c>
      <c r="O40" t="s">
        <v>6</v>
      </c>
    </row>
    <row r="41" spans="4:15" ht="17" customHeight="1" x14ac:dyDescent="0.15">
      <c r="D41" s="23"/>
      <c r="E41" s="66"/>
      <c r="F41" s="67"/>
      <c r="G41" s="67"/>
      <c r="H41" s="68"/>
      <c r="I41" s="67"/>
      <c r="J41" s="67"/>
      <c r="K41" s="68"/>
      <c r="L41" t="str">
        <f>IF(ISBLANK(D41),"",IF(D41&gt;1000,(D41-1000)/26+33.0847,(IF(D41&gt;600,(D41-600)/28+18.799,(IF(D41&gt;400,(D41-400)/30+12.1324,(IF(D41&gt;200,(D41-200)/32+5.8824,D41/34))))))))</f>
        <v/>
      </c>
      <c r="M41" t="str">
        <f t="shared" ref="M41:M50" si="4">IF(ISBLANK(D41),"",IF((D41=0),1,IF(D41&gt;=brevet,IF(brevet&gt;1200,(brevet-1200)*75/1000+90,Max_time),IF(D41&gt;1200,(D41-1200)*75/1000+90,IF(D41&gt;1000,(D41-1000)/(1000/75)+75,IF(D41&gt;600,(D41-600)/(400/35)+40,IF(D41&lt;=60,D41/20+1,D41/15)))))))</f>
        <v/>
      </c>
      <c r="N41" s="5" t="str">
        <f>IF(ISBLANK(D41),"",Open_time Control_1+(INT(L41)&amp;":"&amp;IF(ROUND(((L41-INT(L41))*60),0)&lt;10,0,"")&amp;ROUND(((L41-INT(L41))*60),0)))</f>
        <v/>
      </c>
      <c r="O41" s="5" t="str">
        <f>IF(ISBLANK(D41),"",Open_time Control_1+(INT(M41)&amp;":"&amp;IF(ROUND(((M41-INT(M41))*60),0)&lt;10,0,"")&amp;ROUND(((M41-INT(M41))*60),0)))</f>
        <v/>
      </c>
    </row>
    <row r="42" spans="4:15" ht="17" customHeight="1" x14ac:dyDescent="0.15">
      <c r="D42" s="23"/>
      <c r="E42" s="66"/>
      <c r="F42" s="67"/>
      <c r="G42" s="67"/>
      <c r="H42" s="68"/>
      <c r="I42" s="67"/>
      <c r="J42" s="67"/>
      <c r="K42" s="68"/>
      <c r="L42" t="str">
        <f t="shared" ref="L42:L50" si="5">IF(ISBLANK(D42),"",IF(D42&gt;1000,(D42-1000)/26+33.0847,(IF(D42&gt;600,(D42-600)/28+18.799,(IF(D42&gt;400,(D42-400)/30+12.1324,(IF(D42&gt;200,(D42-200)/32+5.8824,D42/34))))))))</f>
        <v/>
      </c>
      <c r="M42" t="str">
        <f t="shared" si="4"/>
        <v/>
      </c>
      <c r="N42" s="5" t="str">
        <f>IF(ISBLANK(D42),"",Open_time Control_1+(INT(L42)&amp;":"&amp;IF(ROUND(((L42-INT(L42))*60),0)&lt;10,0,"")&amp;ROUND(((L42-INT(L42))*60),0)))</f>
        <v/>
      </c>
      <c r="O42" s="5" t="str">
        <f>IF(ISBLANK(D42),"",Open_time Control_1+(INT(M42)&amp;":"&amp;IF(ROUND(((M42-INT(M42))*60),0)&lt;10,0,"")&amp;ROUND(((M42-INT(M42))*60),0)))</f>
        <v/>
      </c>
    </row>
    <row r="43" spans="4:15" ht="17" customHeight="1" x14ac:dyDescent="0.15">
      <c r="D43" s="23"/>
      <c r="E43" s="66"/>
      <c r="F43" s="67"/>
      <c r="G43" s="67"/>
      <c r="H43" s="68"/>
      <c r="I43" s="67"/>
      <c r="J43" s="67"/>
      <c r="K43" s="68"/>
      <c r="L43" t="str">
        <f t="shared" si="5"/>
        <v/>
      </c>
      <c r="M43" t="str">
        <f t="shared" si="4"/>
        <v/>
      </c>
      <c r="N43" s="5" t="str">
        <f>IF(ISBLANK(D43),"",Open_time Control_1+(INT(L43)&amp;":"&amp;IF(ROUND(((L43-INT(L43))*60),0)&lt;10,0,"")&amp;ROUND(((L43-INT(L43))*60),0)))</f>
        <v/>
      </c>
      <c r="O43" s="5" t="str">
        <f>IF(ISBLANK(D43),"",Open_time Control_1+(INT(M43)&amp;":"&amp;IF(ROUND(((M43-INT(M43))*60),0)&lt;10,0,"")&amp;ROUND(((M43-INT(M43))*60),0)))</f>
        <v/>
      </c>
    </row>
    <row r="44" spans="4:15" ht="17" customHeight="1" x14ac:dyDescent="0.15">
      <c r="D44" s="23"/>
      <c r="E44" s="66"/>
      <c r="F44" s="67"/>
      <c r="G44" s="67"/>
      <c r="H44" s="68"/>
      <c r="I44" s="67"/>
      <c r="J44" s="67"/>
      <c r="K44" s="68"/>
      <c r="L44" t="str">
        <f t="shared" si="5"/>
        <v/>
      </c>
      <c r="M44" t="str">
        <f t="shared" si="4"/>
        <v/>
      </c>
      <c r="N44" s="5" t="str">
        <f>IF(ISBLANK(D44),"",Open_time Control_1+(INT(L44)&amp;":"&amp;IF(ROUND(((L44-INT(L44))*60),0)&lt;10,0,"")&amp;ROUND(((L44-INT(L44))*60),0)))</f>
        <v/>
      </c>
      <c r="O44" s="5" t="str">
        <f>IF(ISBLANK(D44),"",Open_time Control_1+(INT(M44)&amp;":"&amp;IF(ROUND(((M44-INT(M44))*60),0)&lt;10,0,"")&amp;ROUND(((M44-INT(M44))*60),0)))</f>
        <v/>
      </c>
    </row>
    <row r="45" spans="4:15" ht="17" customHeight="1" x14ac:dyDescent="0.15">
      <c r="D45" s="23"/>
      <c r="E45" s="66"/>
      <c r="F45" s="67"/>
      <c r="G45" s="67"/>
      <c r="H45" s="68"/>
      <c r="I45" s="67"/>
      <c r="J45" s="67"/>
      <c r="K45" s="68"/>
      <c r="L45" t="str">
        <f t="shared" si="5"/>
        <v/>
      </c>
      <c r="M45" t="str">
        <f t="shared" si="4"/>
        <v/>
      </c>
      <c r="N45" s="5" t="str">
        <f>IF(ISBLANK(D45),"",Open_time Control_1+(INT(L45)&amp;":"&amp;IF(ROUND(((L45-INT(L45))*60),0)&lt;10,0,"")&amp;ROUND(((L45-INT(L45))*60),0)))</f>
        <v/>
      </c>
      <c r="O45" s="5" t="str">
        <f>IF(ISBLANK(D45),"",Open_time Control_1+(INT(M45)&amp;":"&amp;IF(ROUND(((M45-INT(M45))*60),0)&lt;10,0,"")&amp;ROUND(((M45-INT(M45))*60),0)))</f>
        <v/>
      </c>
    </row>
    <row r="46" spans="4:15" ht="17" customHeight="1" x14ac:dyDescent="0.15">
      <c r="D46" s="23"/>
      <c r="E46" s="66"/>
      <c r="F46" s="67"/>
      <c r="G46" s="67"/>
      <c r="H46" s="68"/>
      <c r="I46" s="67"/>
      <c r="J46" s="67"/>
      <c r="K46" s="68"/>
      <c r="L46" t="str">
        <f t="shared" si="5"/>
        <v/>
      </c>
      <c r="M46" t="str">
        <f t="shared" si="4"/>
        <v/>
      </c>
      <c r="N46" s="5" t="str">
        <f>IF(ISBLANK(D46),"",Open_time Control_1+(INT(L46)&amp;":"&amp;IF(ROUND(((L46-INT(L46))*60),0)&lt;10,0,"")&amp;ROUND(((L46-INT(L46))*60),0)))</f>
        <v/>
      </c>
      <c r="O46" s="5" t="str">
        <f>IF(ISBLANK(D46),"",Open_time Control_1+(INT(M46)&amp;":"&amp;IF(ROUND(((M46-INT(M46))*60),0)&lt;10,0,"")&amp;ROUND(((M46-INT(M46))*60),0)))</f>
        <v/>
      </c>
    </row>
    <row r="47" spans="4:15" ht="17" customHeight="1" x14ac:dyDescent="0.15">
      <c r="D47" s="23"/>
      <c r="E47" s="66"/>
      <c r="F47" s="67"/>
      <c r="G47" s="67"/>
      <c r="H47" s="68"/>
      <c r="I47" s="67"/>
      <c r="J47" s="67"/>
      <c r="K47" s="68"/>
      <c r="L47" t="str">
        <f t="shared" si="5"/>
        <v/>
      </c>
      <c r="M47" t="str">
        <f t="shared" si="4"/>
        <v/>
      </c>
      <c r="N47" s="5" t="str">
        <f>IF(ISBLANK(D47),"",Open_time Control_1+(INT(L47)&amp;":"&amp;IF(ROUND(((L47-INT(L47))*60),0)&lt;10,0,"")&amp;ROUND(((L47-INT(L47))*60),0)))</f>
        <v/>
      </c>
      <c r="O47" s="5" t="str">
        <f>IF(ISBLANK(D47),"",Open_time Control_1+(INT(M47)&amp;":"&amp;IF(ROUND(((M47-INT(M47))*60),0)&lt;10,0,"")&amp;ROUND(((M47-INT(M47))*60),0)))</f>
        <v/>
      </c>
    </row>
    <row r="48" spans="4:15" ht="17" customHeight="1" x14ac:dyDescent="0.15">
      <c r="D48" s="23"/>
      <c r="E48" s="66"/>
      <c r="F48" s="67"/>
      <c r="G48" s="67"/>
      <c r="H48" s="68"/>
      <c r="I48" s="67"/>
      <c r="J48" s="67"/>
      <c r="K48" s="68"/>
      <c r="L48" t="str">
        <f t="shared" si="5"/>
        <v/>
      </c>
      <c r="M48" t="str">
        <f t="shared" si="4"/>
        <v/>
      </c>
      <c r="N48" s="5" t="str">
        <f>IF(ISBLANK(D48),"",Open_time Control_1+(INT(L48)&amp;":"&amp;IF(ROUND(((L48-INT(L48))*60),0)&lt;10,0,"")&amp;ROUND(((L48-INT(L48))*60),0)))</f>
        <v/>
      </c>
      <c r="O48" s="5" t="str">
        <f>IF(ISBLANK(D48),"",Open_time Control_1+(INT(M48)&amp;":"&amp;IF(ROUND(((M48-INT(M48))*60),0)&lt;10,0,"")&amp;ROUND(((M48-INT(M48))*60),0)))</f>
        <v/>
      </c>
    </row>
    <row r="49" spans="4:15" ht="17" customHeight="1" x14ac:dyDescent="0.15">
      <c r="D49" s="23"/>
      <c r="E49" s="66"/>
      <c r="F49" s="67"/>
      <c r="G49" s="67"/>
      <c r="H49" s="68"/>
      <c r="I49" s="67"/>
      <c r="J49" s="67"/>
      <c r="K49" s="68"/>
      <c r="L49" t="str">
        <f t="shared" si="5"/>
        <v/>
      </c>
      <c r="M49" t="str">
        <f t="shared" si="4"/>
        <v/>
      </c>
      <c r="N49" s="5" t="str">
        <f>IF(ISBLANK(D49),"",Open_time Control_1+(INT(L49)&amp;":"&amp;IF(ROUND(((L49-INT(L49))*60),0)&lt;10,0,"")&amp;ROUND(((L49-INT(L49))*60),0)))</f>
        <v/>
      </c>
      <c r="O49" s="5" t="str">
        <f>IF(ISBLANK(D49),"",Open_time Control_1+(INT(M49)&amp;":"&amp;IF(ROUND(((M49-INT(M49))*60),0)&lt;10,0,"")&amp;ROUND(((M49-INT(M49))*60),0)))</f>
        <v/>
      </c>
    </row>
    <row r="50" spans="4:15" ht="17" customHeight="1" thickBot="1" x14ac:dyDescent="0.2">
      <c r="D50" s="47"/>
      <c r="E50" s="69"/>
      <c r="F50" s="70"/>
      <c r="G50" s="70"/>
      <c r="H50" s="71"/>
      <c r="I50" s="70"/>
      <c r="J50" s="70"/>
      <c r="K50" s="71"/>
      <c r="L50" t="str">
        <f t="shared" si="5"/>
        <v/>
      </c>
      <c r="M50" t="str">
        <f t="shared" si="4"/>
        <v/>
      </c>
      <c r="N50" s="5" t="str">
        <f>IF(ISBLANK(D50),"",Open_time Control_1+(INT(L50)&amp;":"&amp;IF(ROUND(((L50-INT(L50))*60),0)&lt;10,0,"")&amp;ROUND(((L50-INT(L50))*60),0)))</f>
        <v/>
      </c>
      <c r="O50" s="5" t="str">
        <f>IF(ISBLANK(D50),"",Open_time Control_1+(INT(M50)&amp;":"&amp;IF(ROUND(((M50-INT(M50))*60),0)&lt;10,0,"")&amp;ROUND(((M50-INT(M50))*60),0)))</f>
        <v/>
      </c>
    </row>
    <row r="51" spans="4:15" ht="7" customHeight="1" thickBot="1" x14ac:dyDescent="0.25">
      <c r="D51" s="56"/>
      <c r="E51" s="57"/>
      <c r="F51" s="58"/>
      <c r="G51" s="58"/>
      <c r="H51" s="58"/>
      <c r="I51" s="58"/>
      <c r="J51" s="58"/>
      <c r="K51" s="59"/>
      <c r="N51" s="5"/>
      <c r="O51" s="5"/>
    </row>
    <row r="52" spans="4:15" ht="14" thickBot="1" x14ac:dyDescent="0.2">
      <c r="D52" s="98" t="s">
        <v>87</v>
      </c>
      <c r="E52" s="99"/>
      <c r="F52" s="99"/>
      <c r="G52" s="99"/>
      <c r="H52" s="99"/>
      <c r="I52" s="98" t="s">
        <v>88</v>
      </c>
      <c r="J52" s="99"/>
      <c r="K52" s="100"/>
    </row>
    <row r="53" spans="4:15" ht="14" thickBot="1" x14ac:dyDescent="0.2">
      <c r="D53" s="6" t="s">
        <v>24</v>
      </c>
      <c r="E53" s="7" t="s">
        <v>25</v>
      </c>
      <c r="F53" s="54" t="s">
        <v>26</v>
      </c>
      <c r="G53" s="54" t="s">
        <v>27</v>
      </c>
      <c r="H53" s="78" t="s">
        <v>28</v>
      </c>
      <c r="I53" s="7" t="s">
        <v>60</v>
      </c>
      <c r="J53" s="7" t="s">
        <v>61</v>
      </c>
      <c r="K53" s="8" t="s">
        <v>62</v>
      </c>
      <c r="L53" t="s">
        <v>3</v>
      </c>
      <c r="M53" t="s">
        <v>4</v>
      </c>
      <c r="N53" t="s">
        <v>5</v>
      </c>
      <c r="O53" t="s">
        <v>6</v>
      </c>
    </row>
    <row r="54" spans="4:15" ht="17" customHeight="1" x14ac:dyDescent="0.15">
      <c r="D54" s="23"/>
      <c r="E54" s="66"/>
      <c r="F54" s="67"/>
      <c r="G54" s="67"/>
      <c r="H54" s="68"/>
      <c r="I54" s="67"/>
      <c r="J54" s="67"/>
      <c r="K54" s="68"/>
      <c r="L54" t="str">
        <f>IF(ISBLANK(D54),"",IF(D54&gt;1000,(D54-1000)/26+33.0847,(IF(D54&gt;600,(D54-600)/28+18.799,(IF(D54&gt;400,(D54-400)/30+12.1324,(IF(D54&gt;200,(D54-200)/32+5.8824,D54/34))))))))</f>
        <v/>
      </c>
      <c r="M54" t="str">
        <f t="shared" ref="M54:M63" si="6">IF(ISBLANK(D54),"",IF((D54=0),1,IF(D54&gt;=brevet,IF(brevet&gt;1200,(brevet-1200)*75/1000+90,Max_time),IF(D54&gt;1200,(D54-1200)*75/1000+90,IF(D54&gt;1000,(D54-1000)/(1000/75)+75,IF(D54&gt;600,(D54-600)/(400/35)+40,IF(D54&lt;=60,D54/20+1,D54/15)))))))</f>
        <v/>
      </c>
      <c r="N54" s="5" t="str">
        <f>IF(ISBLANK(D54),"",Open_time Control_1+(INT(L54)&amp;":"&amp;IF(ROUND(((L54-INT(L54))*60),0)&lt;10,0,"")&amp;ROUND(((L54-INT(L54))*60),0)))</f>
        <v/>
      </c>
      <c r="O54" s="5" t="str">
        <f>IF(ISBLANK(D54),"",Open_time Control_1+(INT(M54)&amp;":"&amp;IF(ROUND(((M54-INT(M54))*60),0)&lt;10,0,"")&amp;ROUND(((M54-INT(M54))*60),0)))</f>
        <v/>
      </c>
    </row>
    <row r="55" spans="4:15" ht="17" customHeight="1" x14ac:dyDescent="0.15">
      <c r="D55" s="23"/>
      <c r="E55" s="66"/>
      <c r="F55" s="67"/>
      <c r="G55" s="67"/>
      <c r="H55" s="68"/>
      <c r="I55" s="67"/>
      <c r="J55" s="67"/>
      <c r="K55" s="68"/>
      <c r="L55" t="str">
        <f t="shared" ref="L55:L63" si="7">IF(ISBLANK(D55),"",IF(D55&gt;1000,(D55-1000)/26+33.0847,(IF(D55&gt;600,(D55-600)/28+18.799,(IF(D55&gt;400,(D55-400)/30+12.1324,(IF(D55&gt;200,(D55-200)/32+5.8824,D55/34))))))))</f>
        <v/>
      </c>
      <c r="M55" t="str">
        <f t="shared" si="6"/>
        <v/>
      </c>
      <c r="N55" s="5" t="str">
        <f>IF(ISBLANK(D55),"",Open_time Control_1+(INT(L55)&amp;":"&amp;IF(ROUND(((L55-INT(L55))*60),0)&lt;10,0,"")&amp;ROUND(((L55-INT(L55))*60),0)))</f>
        <v/>
      </c>
      <c r="O55" s="5" t="str">
        <f>IF(ISBLANK(D55),"",Open_time Control_1+(INT(M55)&amp;":"&amp;IF(ROUND(((M55-INT(M55))*60),0)&lt;10,0,"")&amp;ROUND(((M55-INT(M55))*60),0)))</f>
        <v/>
      </c>
    </row>
    <row r="56" spans="4:15" ht="17" customHeight="1" x14ac:dyDescent="0.15">
      <c r="D56" s="23"/>
      <c r="E56" s="66"/>
      <c r="F56" s="67"/>
      <c r="G56" s="67"/>
      <c r="H56" s="68"/>
      <c r="I56" s="67"/>
      <c r="J56" s="67"/>
      <c r="K56" s="68"/>
      <c r="L56" t="str">
        <f t="shared" si="7"/>
        <v/>
      </c>
      <c r="M56" t="str">
        <f t="shared" si="6"/>
        <v/>
      </c>
      <c r="N56" s="5" t="str">
        <f>IF(ISBLANK(D56),"",Open_time Control_1+(INT(L56)&amp;":"&amp;IF(ROUND(((L56-INT(L56))*60),0)&lt;10,0,"")&amp;ROUND(((L56-INT(L56))*60),0)))</f>
        <v/>
      </c>
      <c r="O56" s="5" t="str">
        <f>IF(ISBLANK(D56),"",Open_time Control_1+(INT(M56)&amp;":"&amp;IF(ROUND(((M56-INT(M56))*60),0)&lt;10,0,"")&amp;ROUND(((M56-INT(M56))*60),0)))</f>
        <v/>
      </c>
    </row>
    <row r="57" spans="4:15" ht="17" customHeight="1" x14ac:dyDescent="0.15">
      <c r="D57" s="23"/>
      <c r="E57" s="66"/>
      <c r="F57" s="67"/>
      <c r="G57" s="67"/>
      <c r="H57" s="68"/>
      <c r="I57" s="67"/>
      <c r="J57" s="67"/>
      <c r="K57" s="68"/>
      <c r="L57" t="str">
        <f t="shared" si="7"/>
        <v/>
      </c>
      <c r="M57" t="str">
        <f t="shared" si="6"/>
        <v/>
      </c>
      <c r="N57" s="5" t="str">
        <f>IF(ISBLANK(D57),"",Open_time Control_1+(INT(L57)&amp;":"&amp;IF(ROUND(((L57-INT(L57))*60),0)&lt;10,0,"")&amp;ROUND(((L57-INT(L57))*60),0)))</f>
        <v/>
      </c>
      <c r="O57" s="5" t="str">
        <f>IF(ISBLANK(D57),"",Open_time Control_1+(INT(M57)&amp;":"&amp;IF(ROUND(((M57-INT(M57))*60),0)&lt;10,0,"")&amp;ROUND(((M57-INT(M57))*60),0)))</f>
        <v/>
      </c>
    </row>
    <row r="58" spans="4:15" ht="17" customHeight="1" x14ac:dyDescent="0.15">
      <c r="D58" s="23"/>
      <c r="E58" s="66"/>
      <c r="F58" s="67"/>
      <c r="G58" s="67"/>
      <c r="H58" s="68"/>
      <c r="I58" s="67"/>
      <c r="J58" s="67"/>
      <c r="K58" s="68"/>
      <c r="L58" t="str">
        <f t="shared" si="7"/>
        <v/>
      </c>
      <c r="M58" t="str">
        <f t="shared" si="6"/>
        <v/>
      </c>
      <c r="N58" s="5" t="str">
        <f>IF(ISBLANK(D58),"",Open_time Control_1+(INT(L58)&amp;":"&amp;IF(ROUND(((L58-INT(L58))*60),0)&lt;10,0,"")&amp;ROUND(((L58-INT(L58))*60),0)))</f>
        <v/>
      </c>
      <c r="O58" s="5" t="str">
        <f>IF(ISBLANK(D58),"",Open_time Control_1+(INT(M58)&amp;":"&amp;IF(ROUND(((M58-INT(M58))*60),0)&lt;10,0,"")&amp;ROUND(((M58-INT(M58))*60),0)))</f>
        <v/>
      </c>
    </row>
    <row r="59" spans="4:15" ht="17" customHeight="1" x14ac:dyDescent="0.15">
      <c r="D59" s="23"/>
      <c r="E59" s="66"/>
      <c r="F59" s="67"/>
      <c r="G59" s="67"/>
      <c r="H59" s="68"/>
      <c r="I59" s="67"/>
      <c r="J59" s="67"/>
      <c r="K59" s="68"/>
      <c r="L59" t="str">
        <f t="shared" si="7"/>
        <v/>
      </c>
      <c r="M59" t="str">
        <f t="shared" si="6"/>
        <v/>
      </c>
      <c r="N59" s="5" t="str">
        <f>IF(ISBLANK(D59),"",Open_time Control_1+(INT(L59)&amp;":"&amp;IF(ROUND(((L59-INT(L59))*60),0)&lt;10,0,"")&amp;ROUND(((L59-INT(L59))*60),0)))</f>
        <v/>
      </c>
      <c r="O59" s="5" t="str">
        <f>IF(ISBLANK(D59),"",Open_time Control_1+(INT(M59)&amp;":"&amp;IF(ROUND(((M59-INT(M59))*60),0)&lt;10,0,"")&amp;ROUND(((M59-INT(M59))*60),0)))</f>
        <v/>
      </c>
    </row>
    <row r="60" spans="4:15" ht="17" customHeight="1" x14ac:dyDescent="0.15">
      <c r="D60" s="23"/>
      <c r="E60" s="66"/>
      <c r="F60" s="67"/>
      <c r="G60" s="67"/>
      <c r="H60" s="68"/>
      <c r="I60" s="67"/>
      <c r="J60" s="67"/>
      <c r="K60" s="68"/>
      <c r="L60" t="str">
        <f t="shared" si="7"/>
        <v/>
      </c>
      <c r="M60" t="str">
        <f t="shared" si="6"/>
        <v/>
      </c>
      <c r="N60" s="5" t="str">
        <f>IF(ISBLANK(D60),"",Open_time Control_1+(INT(L60)&amp;":"&amp;IF(ROUND(((L60-INT(L60))*60),0)&lt;10,0,"")&amp;ROUND(((L60-INT(L60))*60),0)))</f>
        <v/>
      </c>
      <c r="O60" s="5" t="str">
        <f>IF(ISBLANK(D60),"",Open_time Control_1+(INT(M60)&amp;":"&amp;IF(ROUND(((M60-INT(M60))*60),0)&lt;10,0,"")&amp;ROUND(((M60-INT(M60))*60),0)))</f>
        <v/>
      </c>
    </row>
    <row r="61" spans="4:15" ht="17" customHeight="1" x14ac:dyDescent="0.15">
      <c r="D61" s="23"/>
      <c r="E61" s="66"/>
      <c r="F61" s="67"/>
      <c r="G61" s="67"/>
      <c r="H61" s="68"/>
      <c r="I61" s="67"/>
      <c r="J61" s="67"/>
      <c r="K61" s="68"/>
      <c r="L61" t="str">
        <f t="shared" si="7"/>
        <v/>
      </c>
      <c r="M61" t="str">
        <f t="shared" si="6"/>
        <v/>
      </c>
      <c r="N61" s="5" t="str">
        <f>IF(ISBLANK(D61),"",Open_time Control_1+(INT(L61)&amp;":"&amp;IF(ROUND(((L61-INT(L61))*60),0)&lt;10,0,"")&amp;ROUND(((L61-INT(L61))*60),0)))</f>
        <v/>
      </c>
      <c r="O61" s="5" t="str">
        <f>IF(ISBLANK(D61),"",Open_time Control_1+(INT(M61)&amp;":"&amp;IF(ROUND(((M61-INT(M61))*60),0)&lt;10,0,"")&amp;ROUND(((M61-INT(M61))*60),0)))</f>
        <v/>
      </c>
    </row>
    <row r="62" spans="4:15" ht="17" customHeight="1" x14ac:dyDescent="0.15">
      <c r="D62" s="23"/>
      <c r="E62" s="66"/>
      <c r="F62" s="67"/>
      <c r="G62" s="67"/>
      <c r="H62" s="68"/>
      <c r="I62" s="67"/>
      <c r="J62" s="67"/>
      <c r="K62" s="68"/>
      <c r="L62" t="str">
        <f t="shared" si="7"/>
        <v/>
      </c>
      <c r="M62" t="str">
        <f t="shared" si="6"/>
        <v/>
      </c>
      <c r="N62" s="5" t="str">
        <f>IF(ISBLANK(D62),"",Open_time Control_1+(INT(L62)&amp;":"&amp;IF(ROUND(((L62-INT(L62))*60),0)&lt;10,0,"")&amp;ROUND(((L62-INT(L62))*60),0)))</f>
        <v/>
      </c>
      <c r="O62" s="5" t="str">
        <f>IF(ISBLANK(D62),"",Open_time Control_1+(INT(M62)&amp;":"&amp;IF(ROUND(((M62-INT(M62))*60),0)&lt;10,0,"")&amp;ROUND(((M62-INT(M62))*60),0)))</f>
        <v/>
      </c>
    </row>
    <row r="63" spans="4:15" ht="17" customHeight="1" thickBot="1" x14ac:dyDescent="0.2">
      <c r="D63" s="47"/>
      <c r="E63" s="69"/>
      <c r="F63" s="70"/>
      <c r="G63" s="70"/>
      <c r="H63" s="71"/>
      <c r="I63" s="70"/>
      <c r="J63" s="70"/>
      <c r="K63" s="71"/>
      <c r="L63" t="str">
        <f t="shared" si="7"/>
        <v/>
      </c>
      <c r="M63" t="str">
        <f t="shared" si="6"/>
        <v/>
      </c>
      <c r="N63" s="5" t="str">
        <f>IF(ISBLANK(D63),"",Open_time Control_1+(INT(L63)&amp;":"&amp;IF(ROUND(((L63-INT(L63))*60),0)&lt;10,0,"")&amp;ROUND(((L63-INT(L63))*60),0)))</f>
        <v/>
      </c>
      <c r="O63" s="5" t="str">
        <f>IF(ISBLANK(D63),"",Open_time Control_1+(INT(M63)&amp;":"&amp;IF(ROUND(((M63-INT(M63))*60),0)&lt;10,0,"")&amp;ROUND(((M63-INT(M63))*60),0)))</f>
        <v/>
      </c>
    </row>
  </sheetData>
  <sheetProtection algorithmName="SHA-512" hashValue="hXqSV0bU1chupEFDmG8jcGyvWNS5PnswRem4CQMjxQ0nMAu2s0QEHhTqcZepwEmcZ4YXOuX/yUKRZfDjv3IWAw==" saltValue="rHiEE/Oer+IiCcmxqua5ww==" spinCount="100000" sheet="1" objects="1" scenarios="1" formatCells="0" selectLockedCells="1"/>
  <mergeCells count="12">
    <mergeCell ref="D52:H52"/>
    <mergeCell ref="I52:K52"/>
    <mergeCell ref="Q1:Z5"/>
    <mergeCell ref="A1:H1"/>
    <mergeCell ref="B8:H8"/>
    <mergeCell ref="D39:H39"/>
    <mergeCell ref="I39:K39"/>
    <mergeCell ref="J6:K6"/>
    <mergeCell ref="D13:H13"/>
    <mergeCell ref="D26:H26"/>
    <mergeCell ref="I13:K13"/>
    <mergeCell ref="I26:K26"/>
  </mergeCells>
  <phoneticPr fontId="16" type="noConversion"/>
  <pageMargins left="0.75" right="0.75" top="1" bottom="1" header="0.5" footer="0.5"/>
  <pageSetup orientation="portrait" horizontalDpi="4294967292" verticalDpi="4294967292"/>
  <headerFooter>
    <oddHeader>&amp;A</oddHeader>
    <oddFooter>Page &amp;P</oddFooter>
  </headerFooter>
  <drawing r:id="rId1"/>
  <mc:AlternateContent xmlns:mc="http://schemas.openxmlformats.org/markup-compatibility/2006">
    <mc:Choice Requires="v">
      <legacyDrawing r:id="rId2"/>
    </mc:Choice>
  </mc:AlternateContent>
  <extLst>
    <ext xmlns="http://schemas.openxmlformats.org/spreadsheetml/2006/main" xmlns:mx="http://schemas.microsoft.com/office/mac/excel/2008/main" uri="{64002731-A6B0-56B0-2670-7721B7C09600}">
      <mx:PLV Mode="0" OnePage="0" WScale="0"/>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tabSelected="1" zoomScale="92" zoomScaleNormal="92" zoomScalePageLayoutView="92" workbookViewId="0">
      <selection activeCell="F8" sqref="F8"/>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customWidth="1"/>
    <col min="9" max="9" width="12" customWidth="1"/>
    <col min="12" max="14" width="9" customWidth="1"/>
    <col min="18" max="19" width="8.83203125" customWidth="1"/>
  </cols>
  <sheetData>
    <row r="1" spans="1:22" ht="21" thickBot="1" x14ac:dyDescent="0.2">
      <c r="A1" s="123" t="s">
        <v>80</v>
      </c>
      <c r="B1" s="123"/>
      <c r="C1" s="123"/>
      <c r="D1" s="123"/>
      <c r="E1" s="123"/>
      <c r="F1" s="123"/>
      <c r="G1" s="123"/>
      <c r="H1" s="24" t="s">
        <v>29</v>
      </c>
    </row>
    <row r="2" spans="1:22" ht="33.75" customHeight="1" thickBot="1" x14ac:dyDescent="0.25">
      <c r="A2" s="65" t="s">
        <v>30</v>
      </c>
      <c r="B2" s="9" t="s">
        <v>3</v>
      </c>
      <c r="C2" s="9" t="s">
        <v>4</v>
      </c>
      <c r="D2" s="9" t="s">
        <v>25</v>
      </c>
      <c r="E2" s="9" t="s">
        <v>31</v>
      </c>
      <c r="F2" s="9" t="s">
        <v>59</v>
      </c>
      <c r="G2" s="65" t="s">
        <v>32</v>
      </c>
      <c r="H2" s="24" t="s">
        <v>29</v>
      </c>
      <c r="K2" s="127" t="s">
        <v>55</v>
      </c>
      <c r="L2" s="127"/>
      <c r="M2" s="127"/>
      <c r="N2" s="127"/>
      <c r="O2" s="127"/>
      <c r="P2" s="127"/>
      <c r="Q2" s="127"/>
      <c r="R2" s="127"/>
      <c r="S2" s="127"/>
      <c r="T2" s="127"/>
      <c r="U2" s="127"/>
    </row>
    <row r="3" spans="1:22" ht="36" customHeight="1" x14ac:dyDescent="0.45">
      <c r="A3" s="25"/>
      <c r="B3" s="26" t="d">
        <f>Control_1 Open_time</f>
        <v>2023-05-25T14:00:00.00000020954757600</v>
      </c>
      <c r="C3" s="26" t="d">
        <f>Control_1 Close_time</f>
        <v>2023-05-25T15:00:00.000</v>
      </c>
      <c r="D3" s="27"/>
      <c r="E3" s="28" t="str">
        <f>IF(ISBLANK(Control_1 Establishment_1),"",Control_1 Establishment_1)</f>
        <v>Discovery Coffee</v>
      </c>
      <c r="F3" s="85" t="str">
        <f>IF(ISBLANK('Control Entry'!I15),"",'Control Entry'!I15)</f>
        <v/>
      </c>
      <c r="G3" s="86"/>
      <c r="H3" s="24" t="s">
        <v>29</v>
      </c>
      <c r="K3" s="14"/>
      <c r="O3" s="112" t="s">
        <v>33</v>
      </c>
      <c r="P3" s="112"/>
      <c r="Q3" s="112"/>
      <c r="R3" s="112"/>
      <c r="S3" s="75" t="str">
        <f>IF('Control Entry'!D28=0,"","#1")</f>
        <v>#1</v>
      </c>
      <c r="U3" s="38"/>
    </row>
    <row r="4" spans="1:22" ht="36" customHeight="1" x14ac:dyDescent="0.2">
      <c r="A4" s="34">
        <f>IF(ISBLANK(Distance Control_1),"",Control_1 Distance)</f>
        <v>0</v>
      </c>
      <c r="B4" s="35" t="d">
        <f>Control_1 Open_time</f>
        <v>2023-05-25T14:00:00.00000020954757600</v>
      </c>
      <c r="C4" s="35" t="d">
        <f>Control_1 Close_time</f>
        <v>2023-05-25T15:00:00.000</v>
      </c>
      <c r="D4" s="36" t="str">
        <f>IF(ISBLANK(Locale Control_1),"",Locale Control_1)</f>
        <v>Victoria</v>
      </c>
      <c r="E4" s="28" t="str">
        <f>IF(ISBLANK(Control_1 Establishment_2),"",Control_1 Establishment_2)</f>
        <v>1001 Blanshard St</v>
      </c>
      <c r="F4" s="85" t="str">
        <f>IF(ISBLANK('Control Entry'!J15),"",'Control Entry'!J15)</f>
        <v/>
      </c>
      <c r="G4" s="86"/>
      <c r="H4" s="24" t="s">
        <v>29</v>
      </c>
      <c r="K4" s="14"/>
      <c r="M4" s="109" t="str">
        <f>IF(ISBLANK(brevet),"",brevet&amp;" km Randonnée")</f>
        <v>600 km Randonnée</v>
      </c>
      <c r="N4" s="109"/>
      <c r="O4" s="109"/>
      <c r="P4" s="109"/>
      <c r="Q4" s="109"/>
      <c r="R4" s="109"/>
      <c r="S4" s="109"/>
      <c r="T4" s="109"/>
      <c r="U4" s="39"/>
    </row>
    <row r="5" spans="1:22" ht="36" customHeight="1" thickBot="1" x14ac:dyDescent="0.25">
      <c r="A5" s="29"/>
      <c r="B5" s="30" t="d">
        <f>Control_1 Open_time</f>
        <v>2023-05-25T14:00:00.00000020954757600</v>
      </c>
      <c r="C5" s="30" t="d">
        <f>Control_1 Close_time</f>
        <v>2023-05-25T15:00:00.000</v>
      </c>
      <c r="D5" s="31"/>
      <c r="E5" s="32" t="str">
        <f>IF(ISBLANK(Control_1 Establishment_3),"",Control_1 Establishment_3)</f>
        <v/>
      </c>
      <c r="F5" s="90" t="str">
        <f>IF(ISBLANK('Control Entry'!K15),"",'Control Entry'!K15)</f>
        <v/>
      </c>
      <c r="G5" s="89"/>
      <c r="H5" s="24" t="s">
        <v>29</v>
      </c>
      <c r="K5" s="14"/>
      <c r="M5" s="15"/>
      <c r="N5" s="108" t="s">
        <v>47</v>
      </c>
      <c r="O5" s="108"/>
      <c r="P5" s="52" t="str">
        <f>IF(ISBLANK(Brevet_Number),"",Brevet_Number)</f>
        <v>Perm 235</v>
      </c>
      <c r="Q5" s="53"/>
      <c r="R5" s="126" t="d">
        <f>IF(ISBLANK('Control Entry'!$B10),"",'Control Entry'!$B10)</f>
        <v>2023-05-25</v>
      </c>
      <c r="S5" s="126"/>
      <c r="T5" s="126"/>
      <c r="U5" s="126"/>
      <c r="V5" s="40"/>
    </row>
    <row r="6" spans="1:22" ht="36" customHeight="1" x14ac:dyDescent="0.2">
      <c r="A6" s="25"/>
      <c r="B6" s="26" t="d">
        <f>Control_2 Open_time</f>
        <v>2023-05-25T15:18:59.99999994412064550</v>
      </c>
      <c r="C6" s="26" t="d">
        <f>Control_2 Close_time</f>
        <v>2023-05-25T17:14:00.00000043306499400</v>
      </c>
      <c r="D6" s="33"/>
      <c r="E6" s="28" t="str">
        <f>IF(ISBLANK(Control_2 Establishment_1),"",Control_2 Establishment_1)</f>
        <v>Tsehum Harbour Park Bike stand</v>
      </c>
      <c r="F6" s="85" t="str">
        <f>IF(ISBLANK('Control Entry'!I16),"",'Control Entry'!I16)</f>
        <v/>
      </c>
      <c r="G6" s="86"/>
      <c r="H6" s="24" t="s">
        <v>29</v>
      </c>
      <c r="K6" s="14"/>
      <c r="L6" s="115" t="str">
        <f>IF(ISBLANK(Brevet_Description),"",Brevet_Description)</f>
        <v>Permanent: 5-Ferries 600</v>
      </c>
      <c r="M6" s="115"/>
      <c r="N6" s="115"/>
      <c r="O6" s="115"/>
      <c r="P6" s="115"/>
      <c r="Q6" s="115"/>
      <c r="R6" s="115"/>
      <c r="S6" s="115"/>
      <c r="T6" s="115"/>
      <c r="U6" s="115"/>
    </row>
    <row r="7" spans="1:22" ht="36" customHeight="1" x14ac:dyDescent="0.2">
      <c r="A7" s="34">
        <f>IF(ISBLANK(Distance Control_2),"",Control_2 Distance)</f>
        <v>44.8</v>
      </c>
      <c r="B7" s="35" t="d">
        <f>Control_2 Open_time</f>
        <v>2023-05-25T15:18:59.99999994412064550</v>
      </c>
      <c r="C7" s="35" t="d">
        <f>Control_2 Close_time</f>
        <v>2023-05-25T17:14:00.00000043306499400</v>
      </c>
      <c r="D7" s="36" t="str">
        <f>IF(ISBLANK(Locale Control_2),"",Locale Control_2)</f>
        <v>North Saanich</v>
      </c>
      <c r="E7" s="48" t="str">
        <f>IF(ISBLANK(Control_2 Establishment_2),"",Control_2 Establishment_2)</f>
        <v>Photo</v>
      </c>
      <c r="F7" s="87" t="str">
        <f>IF(ISBLANK('Control Entry'!J16),"",'Control Entry'!J16)</f>
        <v/>
      </c>
      <c r="G7" s="86"/>
      <c r="H7" s="24" t="s">
        <v>29</v>
      </c>
      <c r="J7" s="74"/>
      <c r="L7" s="74"/>
    </row>
    <row r="8" spans="1:22" ht="36" customHeight="1" thickBot="1" x14ac:dyDescent="0.25">
      <c r="A8" s="29"/>
      <c r="B8" s="30" t="d">
        <f>Control_2 Open_time</f>
        <v>2023-05-25T15:18:59.99999994412064550</v>
      </c>
      <c r="C8" s="30" t="d">
        <f>Control_2 Close_time</f>
        <v>2023-05-25T17:14:00.00000043306499400</v>
      </c>
      <c r="D8" s="31"/>
      <c r="E8" s="73" t="str">
        <f>IF(ISBLANK(Control_2 Establishment_3),"",Control_2 Establishment_3)</f>
        <v/>
      </c>
      <c r="F8" s="88" t="str">
        <f>IF(ISBLANK('Control Entry'!K16),"",'Control Entry'!K16)</f>
        <v/>
      </c>
      <c r="G8" s="89"/>
      <c r="H8" s="24" t="s">
        <v>29</v>
      </c>
      <c r="J8" s="15" t="s">
        <v>34</v>
      </c>
      <c r="L8" s="128"/>
      <c r="M8" s="128"/>
      <c r="N8" s="128"/>
      <c r="O8" s="128"/>
      <c r="P8" s="128"/>
      <c r="Q8" s="128"/>
      <c r="S8" s="41" t="s">
        <v>46</v>
      </c>
      <c r="T8" s="135"/>
      <c r="U8" s="135"/>
    </row>
    <row r="9" spans="1:22" ht="36" customHeight="1" thickBot="1" x14ac:dyDescent="0.3">
      <c r="A9" s="25"/>
      <c r="B9" s="26" t="d">
        <f>Control_3 Open_time</f>
        <v>2023-05-25T16:06:59.99999990221113300</v>
      </c>
      <c r="C9" s="26" t="d">
        <f>Control_3 Close_time</f>
        <v>2023-05-25T18:47:00.00000039115548150</v>
      </c>
      <c r="D9" s="33"/>
      <c r="E9" s="28" t="str">
        <f>IF(ISBLANK(Control_3 Establishment_1),"",Control_3 Establishment_1)</f>
        <v>Mill Bay Ferry</v>
      </c>
      <c r="F9" s="85" t="str">
        <f>IF(ISBLANK('Control Entry'!I17),"",'Control Entry'!I17)</f>
        <v/>
      </c>
      <c r="G9" s="86"/>
      <c r="H9" s="24" t="s">
        <v>29</v>
      </c>
      <c r="J9" s="15" t="s">
        <v>35</v>
      </c>
      <c r="K9" s="15"/>
      <c r="L9" s="117" t="s">
        <v>54</v>
      </c>
      <c r="M9" s="117"/>
      <c r="N9" s="117"/>
      <c r="O9" s="117"/>
      <c r="P9" s="117"/>
      <c r="Q9" s="117"/>
      <c r="R9" s="117"/>
      <c r="S9" s="117"/>
      <c r="T9" s="117"/>
      <c r="U9" s="117"/>
    </row>
    <row r="10" spans="1:22" ht="36" customHeight="1" thickBot="1" x14ac:dyDescent="0.3">
      <c r="A10" s="34">
        <f>IF(ISBLANK(Distance Control_3),"",Control_3 Distance)</f>
        <v>71.8</v>
      </c>
      <c r="B10" s="35" t="d">
        <f>Control_3 Open_time</f>
        <v>2023-05-25T16:06:59.99999990221113300</v>
      </c>
      <c r="C10" s="35" t="d">
        <f>Control_3 Close_time</f>
        <v>2023-05-25T18:47:00.00000039115548150</v>
      </c>
      <c r="D10" s="36" t="str">
        <f>IF(ISBLANK(Locale Control_3),"",Locale Control_3)</f>
        <v>Brentwood Bay</v>
      </c>
      <c r="E10" s="28" t="str">
        <f>IF(ISBLANK(Control_3 Establishment_2),"",Control_3 Establishment_2)</f>
        <v>Ferry ticket or self-sign if staff are busy</v>
      </c>
      <c r="F10" s="85" t="str">
        <f>IF(ISBLANK('Control Entry'!J17),"",'Control Entry'!J17)</f>
        <v/>
      </c>
      <c r="G10" s="86"/>
      <c r="H10" s="24" t="s">
        <v>29</v>
      </c>
      <c r="J10" s="15"/>
      <c r="K10" s="15"/>
      <c r="L10" s="118"/>
      <c r="M10" s="118"/>
      <c r="N10" s="118"/>
      <c r="O10" s="118"/>
      <c r="P10" s="118"/>
      <c r="Q10" s="118"/>
      <c r="R10" s="118"/>
      <c r="S10" s="118"/>
      <c r="T10" s="118"/>
      <c r="U10" s="118"/>
    </row>
    <row r="11" spans="1:22" ht="36" customHeight="1" thickBot="1" x14ac:dyDescent="0.3">
      <c r="A11" s="29"/>
      <c r="B11" s="30" t="d">
        <f>Control_3 Open_time</f>
        <v>2023-05-25T16:06:59.99999990221113300</v>
      </c>
      <c r="C11" s="30" t="d">
        <f>Control_3 Close_time</f>
        <v>2023-05-25T18:47:00.00000039115548150</v>
      </c>
      <c r="D11" s="31"/>
      <c r="E11" s="32" t="str">
        <f>IF(ISBLANK(Control_3 Establishment_3),"",Control_3 Establishment_3)</f>
        <v/>
      </c>
      <c r="F11" s="90" t="str">
        <f>IF(ISBLANK('Control Entry'!K17),"",'Control Entry'!K17)</f>
        <v/>
      </c>
      <c r="G11" s="89"/>
      <c r="H11" s="24" t="s">
        <v>29</v>
      </c>
      <c r="J11" s="15" t="s">
        <v>36</v>
      </c>
      <c r="K11" s="15"/>
      <c r="L11" s="118"/>
      <c r="M11" s="118"/>
      <c r="N11" s="118"/>
      <c r="O11" s="15"/>
      <c r="P11" s="15" t="s">
        <v>37</v>
      </c>
      <c r="Q11" s="15"/>
      <c r="R11" s="15"/>
      <c r="S11" s="122"/>
      <c r="T11" s="122"/>
      <c r="U11" s="122"/>
    </row>
    <row r="12" spans="1:22" ht="36" customHeight="1" thickBot="1" x14ac:dyDescent="0.3">
      <c r="A12" s="25"/>
      <c r="B12" s="26" t="d">
        <f>Control_4 Open_time</f>
        <v>2023-05-25T18:53:00.00000030733644975</v>
      </c>
      <c r="C12" s="26" t="d">
        <f>Control_4 Close_time</f>
        <v>2023-05-26T01:03:59.99999994412064550</v>
      </c>
      <c r="D12" s="33"/>
      <c r="E12" s="28" t="str">
        <f>IF(ISBLANK(Control_4 Establishment_1),"",Control_4 Establishment_1)</f>
        <v>Departure Bay Beach</v>
      </c>
      <c r="F12" s="85" t="str">
        <f>IF(ISBLANK('Control Entry'!I18),"",'Control Entry'!I18)</f>
        <v/>
      </c>
      <c r="G12" s="86"/>
      <c r="H12" s="24" t="s">
        <v>29</v>
      </c>
      <c r="J12" s="15" t="s">
        <v>38</v>
      </c>
      <c r="K12" s="15"/>
      <c r="L12" s="118"/>
      <c r="M12" s="118"/>
      <c r="N12" s="118"/>
      <c r="O12" s="15"/>
      <c r="P12" s="15" t="s">
        <v>39</v>
      </c>
      <c r="Q12" s="15"/>
      <c r="R12" s="15"/>
      <c r="S12" s="122"/>
      <c r="T12" s="122"/>
      <c r="U12" s="122"/>
    </row>
    <row r="13" spans="1:22" ht="36" customHeight="1" thickBot="1" x14ac:dyDescent="0.3">
      <c r="A13" s="34">
        <f>IF(ISBLANK(Distance Control_4),"",Control_4 Distance)</f>
        <v>166.1</v>
      </c>
      <c r="B13" s="35" t="d">
        <f>Control_4 Open_time</f>
        <v>2023-05-25T18:53:00.00000030733644975</v>
      </c>
      <c r="C13" s="35" t="d">
        <f>Control_4 Close_time</f>
        <v>2023-05-26T01:03:59.99999994412064550</v>
      </c>
      <c r="D13" s="36" t="str">
        <f>IF(ISBLANK(Locale Control_4),"",Locale Control_4)</f>
        <v>Nanaimo</v>
      </c>
      <c r="E13" s="28" t="str">
        <f>IF(ISBLANK(Control_4 Establishment_2),"",Control_4 Establishment_2)</f>
        <v>Beach access ramp (at crosswalk)</v>
      </c>
      <c r="F13" s="85" t="str">
        <f>IF(ISBLANK('Control Entry'!J18),"",'Control Entry'!J18)</f>
        <v/>
      </c>
      <c r="G13" s="86"/>
      <c r="H13" s="24" t="s">
        <v>29</v>
      </c>
      <c r="J13" s="15" t="s">
        <v>40</v>
      </c>
      <c r="L13" s="121"/>
      <c r="M13" s="121"/>
      <c r="N13" s="121"/>
      <c r="P13" s="15" t="s">
        <v>41</v>
      </c>
      <c r="Q13" s="15"/>
      <c r="R13" s="125"/>
      <c r="S13" s="125"/>
      <c r="T13" s="125"/>
      <c r="U13" s="125"/>
    </row>
    <row r="14" spans="1:22" ht="36" customHeight="1" thickBot="1" x14ac:dyDescent="0.25">
      <c r="A14" s="29"/>
      <c r="B14" s="30" t="d">
        <f>Control_4 Open_time</f>
        <v>2023-05-25T18:53:00.00000030733644975</v>
      </c>
      <c r="C14" s="30" t="d">
        <f>Control_4 Close_time</f>
        <v>2023-05-26T01:03:59.99999994412064550</v>
      </c>
      <c r="D14" s="31"/>
      <c r="E14" s="32" t="str">
        <f>IF(ISBLANK(Control_4 Establishment_3),"",Control_4 Establishment_3)</f>
        <v/>
      </c>
      <c r="F14" s="90" t="str">
        <f>IF(ISBLANK('Control Entry'!K18),"",'Control Entry'!K18)</f>
        <v/>
      </c>
      <c r="G14" s="89"/>
      <c r="H14" s="24" t="s">
        <v>29</v>
      </c>
    </row>
    <row r="15" spans="1:22" ht="36" customHeight="1" x14ac:dyDescent="0.2">
      <c r="A15" s="25"/>
      <c r="B15" s="26" t="d">
        <f>Control_5 Open_time</f>
        <v>2023-05-25T21:34:59.99999993015081025</v>
      </c>
      <c r="C15" s="26" t="d">
        <f>Control_5 Close_time</f>
        <v>2023-05-26T06:57:00.000000461004674625</v>
      </c>
      <c r="D15" s="33"/>
      <c r="E15" s="28" t="str">
        <f>IF(ISBLANK(Control_5 Establishment_1),"",Control_5 Establishment_1)</f>
        <v>Buckley Bay Convenience Store</v>
      </c>
      <c r="F15" s="85" t="str">
        <f>IF(ISBLANK('Control Entry'!I19),"",'Control Entry'!I19)</f>
        <v/>
      </c>
      <c r="G15" s="86"/>
      <c r="H15" s="24" t="s">
        <v>29</v>
      </c>
      <c r="J15" s="15"/>
      <c r="L15" s="114" t="s">
        <v>58</v>
      </c>
      <c r="M15" s="114"/>
      <c r="N15" s="114"/>
      <c r="O15" s="114"/>
      <c r="P15" s="114"/>
      <c r="Q15" s="114"/>
      <c r="R15" s="114"/>
      <c r="S15" s="114"/>
      <c r="T15" s="114"/>
      <c r="U15" s="114"/>
    </row>
    <row r="16" spans="1:22" ht="36" customHeight="1" thickBot="1" x14ac:dyDescent="0.25">
      <c r="A16" s="34">
        <f>IF(ISBLANK(Distance Control_5),"",Control_5 Distance)</f>
        <v>254.2</v>
      </c>
      <c r="B16" s="35" t="d">
        <f>Control_5 Open_time</f>
        <v>2023-05-25T21:34:59.99999993015081025</v>
      </c>
      <c r="C16" s="35" t="d">
        <f>Control_5 Close_time</f>
        <v>2023-05-26T06:57:00.000000461004674625</v>
      </c>
      <c r="D16" s="36" t="str">
        <f>IF(ISBLANK(Locale Control_5),"",Locale Control_5)</f>
        <v>Buckley Bay</v>
      </c>
      <c r="E16" s="28" t="str">
        <f>IF(ISBLANK(Control_5 Establishment_2),"",Control_5 Establishment_2)</f>
        <v>Self-sign if closed</v>
      </c>
      <c r="F16" s="85" t="str">
        <f>IF(ISBLANK('Control Entry'!J19),"",'Control Entry'!J19)</f>
        <v/>
      </c>
      <c r="G16" s="86"/>
      <c r="H16" s="24" t="s">
        <v>29</v>
      </c>
      <c r="L16" s="119"/>
      <c r="M16" s="119"/>
      <c r="N16" s="119"/>
      <c r="O16" s="119"/>
      <c r="P16" s="119"/>
      <c r="Q16" s="119"/>
      <c r="R16" s="119"/>
      <c r="S16" s="119"/>
      <c r="T16" s="119"/>
      <c r="U16" s="119"/>
    </row>
    <row r="17" spans="1:22" ht="36" customHeight="1" thickBot="1" x14ac:dyDescent="0.25">
      <c r="A17" s="29"/>
      <c r="B17" s="30" t="d">
        <f>Control_5 Open_time</f>
        <v>2023-05-25T21:34:59.99999993015081025</v>
      </c>
      <c r="C17" s="30" t="d">
        <f>Control_5 Close_time</f>
        <v>2023-05-26T06:57:00.000000461004674625</v>
      </c>
      <c r="D17" s="31"/>
      <c r="E17" s="32" t="str">
        <f>IF(ISBLANK(Control_5 Establishment_3),"",Control_5 Establishment_3)</f>
        <v/>
      </c>
      <c r="F17" s="90" t="str">
        <f>IF(ISBLANK('Control Entry'!K19),"",'Control Entry'!K19)</f>
        <v/>
      </c>
      <c r="G17" s="89"/>
      <c r="H17" s="24" t="s">
        <v>29</v>
      </c>
    </row>
    <row r="18" spans="1:22" ht="36" customHeight="1" x14ac:dyDescent="0.2">
      <c r="A18" s="25"/>
      <c r="B18" s="26" t="d">
        <f>Control_6 Open_time</f>
        <v>2023-05-25T22:37:00.00000011175870900</v>
      </c>
      <c r="C18" s="26" t="d">
        <f>Control_6 Close_time</f>
        <v>2023-05-26T09:10:00.00000006984918975</v>
      </c>
      <c r="D18" s="33"/>
      <c r="E18" s="28" t="str">
        <f>IF(ISBLANK(Control_6 Establishment_1),"",Control_6 Establishment_1)</f>
        <v>Powell River Ferry</v>
      </c>
      <c r="F18" s="85" t="str">
        <f>IF(ISBLANK('Control Entry'!I20),"",'Control Entry'!I20)</f>
        <v/>
      </c>
      <c r="G18" s="86"/>
      <c r="H18" s="24" t="s">
        <v>29</v>
      </c>
    </row>
    <row r="19" spans="1:22" ht="36" customHeight="1" x14ac:dyDescent="0.2">
      <c r="A19" s="34">
        <f>IF(ISBLANK(Distance Control_6),"",Control_6 Distance)</f>
        <v>287.39999999999998</v>
      </c>
      <c r="B19" s="35" t="d">
        <f>Control_6 Open_time</f>
        <v>2023-05-25T22:37:00.00000011175870900</v>
      </c>
      <c r="C19" s="35" t="d">
        <f>Control_6 Close_time</f>
        <v>2023-05-26T09:10:00.00000006984918975</v>
      </c>
      <c r="D19" s="36" t="str">
        <f>IF(ISBLANK(Locale Control_6),"",Locale Control_6)</f>
        <v>Comox</v>
      </c>
      <c r="E19" s="28" t="str">
        <f>IF(ISBLANK(Control_6 Establishment_2),"",Control_6 Establishment_2)</f>
        <v/>
      </c>
      <c r="F19" s="85" t="str">
        <f>IF(ISBLANK('Control Entry'!J20),"",'Control Entry'!J20)</f>
        <v/>
      </c>
      <c r="G19" s="86"/>
      <c r="H19" s="24" t="s">
        <v>29</v>
      </c>
    </row>
    <row r="20" spans="1:22" ht="36" customHeight="1" thickBot="1" x14ac:dyDescent="0.25">
      <c r="A20" s="29"/>
      <c r="B20" s="30" t="d">
        <f>Control_6 Open_time</f>
        <v>2023-05-25T22:37:00.00000011175870900</v>
      </c>
      <c r="C20" s="30" t="d">
        <f>Control_6 Close_time</f>
        <v>2023-05-26T09:10:00.00000006984918975</v>
      </c>
      <c r="D20" s="31"/>
      <c r="E20" s="32" t="str">
        <f>IF(ISBLANK(Control_6 Establishment_3),"",Control_6 Establishment_3)</f>
        <v/>
      </c>
      <c r="F20" s="90" t="str">
        <f>IF(ISBLANK('Control Entry'!K20),"",'Control Entry'!K20)</f>
        <v/>
      </c>
      <c r="G20" s="89"/>
      <c r="H20" s="24" t="s">
        <v>29</v>
      </c>
      <c r="J20" s="50" t="s">
        <v>44</v>
      </c>
      <c r="K20" s="50"/>
      <c r="L20" s="136" t="d">
        <f>IF(ISBLANK('Control Entry'!B12),"",'Control Entry'!B12)</f>
        <v>2023-05-25</v>
      </c>
      <c r="M20" s="136"/>
      <c r="N20" s="136"/>
      <c r="P20" s="15" t="s">
        <v>0</v>
      </c>
      <c r="Q20" s="15"/>
      <c r="S20" s="113" t="d">
        <f>IF(ISBLANK('Control Entry'!B13),"",'Control Entry'!B13)</f>
        <v>14:00:00.0000000000031950</v>
      </c>
      <c r="T20" s="113"/>
      <c r="U20" s="113"/>
    </row>
    <row r="21" spans="1:22" ht="36" customHeight="1" x14ac:dyDescent="0.2">
      <c r="A21" s="25"/>
      <c r="B21" s="26" t="d">
        <f>Control_7 Open_time</f>
        <v>2023-05-25T23:35:00.00000013969838625</v>
      </c>
      <c r="C21" s="26" t="d">
        <f>Control_7 Close_time</f>
        <v>2023-05-26T11:14:00.00000043306499400</v>
      </c>
      <c r="D21" s="33"/>
      <c r="E21" s="28" t="str">
        <f>IF(ISBLANK(Control_7 Establishment_1),"",Control_7 Establishment_1)</f>
        <v>Earl's Cove Ferry</v>
      </c>
      <c r="F21" s="85" t="str">
        <f>IF(ISBLANK('Control Entry'!I21),"",'Control Entry'!I21)</f>
        <v/>
      </c>
      <c r="G21" s="86"/>
      <c r="H21" s="24" t="s">
        <v>29</v>
      </c>
      <c r="J21" s="50"/>
      <c r="K21" s="50"/>
      <c r="L21" s="44"/>
      <c r="M21" s="44"/>
      <c r="N21" s="44"/>
      <c r="P21" s="15"/>
      <c r="Q21" s="15"/>
      <c r="S21" s="51"/>
      <c r="T21" s="51"/>
      <c r="U21" s="51"/>
    </row>
    <row r="22" spans="1:22" ht="36" customHeight="1" thickBot="1" x14ac:dyDescent="0.25">
      <c r="A22" s="34">
        <f>IF(ISBLANK(Distance Control_7),"",Control_7 Distance)</f>
        <v>318.60000000000002</v>
      </c>
      <c r="B22" s="35" t="d">
        <f>Control_7 Open_time</f>
        <v>2023-05-25T23:35:00.00000013969838625</v>
      </c>
      <c r="C22" s="35" t="d">
        <f>Control_7 Close_time</f>
        <v>2023-05-26T11:14:00.00000043306499400</v>
      </c>
      <c r="D22" s="36" t="str">
        <f>IF(ISBLANK(Locale Control_7),"",Locale Control_7)</f>
        <v>Powell River (Saltery Bay)</v>
      </c>
      <c r="E22" s="28" t="str">
        <f>IF(ISBLANK(Control_7 Establishment_2),"",Control_7 Establishment_2)</f>
        <v>Photo</v>
      </c>
      <c r="F22" s="85" t="str">
        <f>IF(ISBLANK('Control Entry'!J21),"",'Control Entry'!J21)</f>
        <v/>
      </c>
      <c r="G22" s="86"/>
      <c r="H22" s="24" t="s">
        <v>29</v>
      </c>
      <c r="J22" s="50" t="s">
        <v>45</v>
      </c>
      <c r="K22" s="50"/>
      <c r="L22" s="120"/>
      <c r="M22" s="120"/>
      <c r="N22" s="120"/>
      <c r="P22" s="15" t="s">
        <v>1</v>
      </c>
      <c r="Q22" s="15"/>
      <c r="S22" s="116"/>
      <c r="T22" s="116"/>
      <c r="U22" s="116"/>
    </row>
    <row r="23" spans="1:22" ht="36" customHeight="1" thickBot="1" x14ac:dyDescent="0.25">
      <c r="A23" s="29"/>
      <c r="B23" s="30" t="d">
        <f>Control_7 Open_time</f>
        <v>2023-05-25T23:35:00.00000013969838625</v>
      </c>
      <c r="C23" s="30" t="d">
        <f>Control_7 Close_time</f>
        <v>2023-05-26T11:14:00.00000043306499400</v>
      </c>
      <c r="D23" s="31"/>
      <c r="E23" s="32" t="str">
        <f>IF(ISBLANK(Control_7 Establishment_3),"",Control_7 Establishment_3)</f>
        <v/>
      </c>
      <c r="F23" s="90" t="str">
        <f>IF(ISBLANK('Control Entry'!K21),"",'Control Entry'!K21)</f>
        <v/>
      </c>
      <c r="G23" s="89"/>
      <c r="H23" s="24" t="s">
        <v>29</v>
      </c>
      <c r="J23" s="50"/>
      <c r="K23" s="50"/>
      <c r="L23" s="44"/>
      <c r="M23" s="44"/>
      <c r="N23" s="44"/>
      <c r="P23" s="15"/>
      <c r="Q23" s="15"/>
    </row>
    <row r="24" spans="1:22" ht="36" customHeight="1" thickBot="1" x14ac:dyDescent="0.25">
      <c r="A24" s="25"/>
      <c r="B24" s="26" t="d">
        <f>Control_8 Open_time</f>
        <v>2023-05-26T01:05:00.00000013969838625</v>
      </c>
      <c r="C24" s="26" t="d">
        <f>Control_8 Close_time</f>
        <v>2023-05-26T14:26:00.00000026542693050</v>
      </c>
      <c r="D24" s="33"/>
      <c r="E24" s="28" t="str">
        <f>IF(ISBLANK(Control_8 Establishment_1),"",Control_8 Establishment_1)</f>
        <v>Eureka Pl street sign</v>
      </c>
      <c r="F24" s="85" t="str">
        <f>IF(ISBLANK('Control Entry'!I22),"",'Control Entry'!I22)</f>
        <v/>
      </c>
      <c r="G24" s="86"/>
      <c r="H24" s="24" t="s">
        <v>29</v>
      </c>
      <c r="J24" s="116"/>
      <c r="K24" s="116"/>
      <c r="L24" s="116"/>
      <c r="M24" s="116"/>
      <c r="N24" s="116"/>
      <c r="P24" s="15" t="s">
        <v>2</v>
      </c>
      <c r="Q24" s="15"/>
      <c r="S24" s="116"/>
      <c r="T24" s="116"/>
      <c r="U24" s="116"/>
    </row>
    <row r="25" spans="1:22" ht="36" customHeight="1" x14ac:dyDescent="0.2">
      <c r="A25" s="34">
        <f>IF(ISBLANK(Distance Control_8),"",Control_8 Distance)</f>
        <v>366.6</v>
      </c>
      <c r="B25" s="35" t="d">
        <f>Control_8 Open_time</f>
        <v>2023-05-26T01:05:00.00000013969838625</v>
      </c>
      <c r="C25" s="35" t="d">
        <f>Control_8 Close_time</f>
        <v>2023-05-26T14:26:00.00000026542693050</v>
      </c>
      <c r="D25" s="36" t="str">
        <f>IF(ISBLANK(Locale Control_8),"",Locale Control_8)</f>
        <v>Halfmoon Bay</v>
      </c>
      <c r="E25" s="28" t="str">
        <f>IF(ISBLANK(Control_8 Establishment_2),"",Control_8 Establishment_2)</f>
        <v>Photo</v>
      </c>
      <c r="F25" s="85" t="str">
        <f>IF(ISBLANK('Control Entry'!J22),"",'Control Entry'!J22)</f>
        <v/>
      </c>
      <c r="G25" s="86"/>
      <c r="H25" s="24" t="s">
        <v>29</v>
      </c>
      <c r="J25" s="111" t="s">
        <v>17</v>
      </c>
      <c r="K25" s="111"/>
      <c r="L25" s="111"/>
      <c r="M25" s="111"/>
      <c r="N25" s="111"/>
      <c r="O25" s="46"/>
      <c r="P25" s="110"/>
      <c r="Q25" s="110"/>
      <c r="R25" s="46"/>
      <c r="S25" s="108"/>
      <c r="T25" s="108"/>
      <c r="U25" s="108"/>
      <c r="V25" s="108"/>
    </row>
    <row r="26" spans="1:22" ht="36" customHeight="1" thickBot="1" x14ac:dyDescent="0.25">
      <c r="A26" s="29"/>
      <c r="B26" s="30" t="d">
        <f>Control_8 Open_time</f>
        <v>2023-05-26T01:05:00.00000013969838625</v>
      </c>
      <c r="C26" s="30" t="d">
        <f>Control_8 Close_time</f>
        <v>2023-05-26T14:26:00.00000026542693050</v>
      </c>
      <c r="D26" s="31"/>
      <c r="E26" s="32" t="str">
        <f>IF(ISBLANK(Control_8 Establishment_3),"",Control_8 Establishment_3)</f>
        <v/>
      </c>
      <c r="F26" s="90" t="str">
        <f>IF(ISBLANK('Control Entry'!K22),"",'Control Entry'!K22)</f>
        <v/>
      </c>
      <c r="G26" s="89"/>
      <c r="H26" s="24" t="s">
        <v>29</v>
      </c>
    </row>
    <row r="27" spans="1:22" ht="36" customHeight="1" x14ac:dyDescent="0.2">
      <c r="A27" s="25"/>
      <c r="B27" s="26" t="d">
        <f>Control_9 Open_time</f>
        <v>2023-05-26T02:09:00.00000008381903175</v>
      </c>
      <c r="C27" s="26" t="d">
        <f>Control_9 Close_time</f>
        <v>2023-05-26T16:41:00.00000026542693050</v>
      </c>
      <c r="D27" s="33"/>
      <c r="E27" s="28" t="str">
        <f>IF(ISBLANK(Control_9 Establishment_1),"",Control_9 Establishment_1)</f>
        <v>Secret Beach Park</v>
      </c>
      <c r="F27" s="85" t="str">
        <f>IF(ISBLANK('Control Entry'!I23),"",'Control Entry'!I23)</f>
        <v/>
      </c>
      <c r="G27" s="86"/>
      <c r="H27" s="24" t="s">
        <v>29</v>
      </c>
      <c r="K27" s="109" t="s">
        <v>56</v>
      </c>
      <c r="L27" s="110"/>
      <c r="M27" s="45" t="s">
        <v>57</v>
      </c>
      <c r="N27" s="110" t="s">
        <v>49</v>
      </c>
      <c r="O27" s="110"/>
      <c r="P27" s="110" t="s">
        <v>50</v>
      </c>
      <c r="Q27" s="110"/>
      <c r="R27" s="46" t="s">
        <v>51</v>
      </c>
      <c r="S27" s="108" t="s">
        <v>52</v>
      </c>
      <c r="T27" s="108"/>
      <c r="U27" s="108" t="s">
        <v>53</v>
      </c>
      <c r="V27" s="108"/>
    </row>
    <row r="28" spans="1:22" ht="36" customHeight="1" x14ac:dyDescent="0.2">
      <c r="A28" s="34">
        <f>IF(ISBLANK(Distance Control_9),"",Control_9 Distance)</f>
        <v>400.3</v>
      </c>
      <c r="B28" s="35" t="d">
        <f>Control_9 Open_time</f>
        <v>2023-05-26T02:09:00.00000008381903175</v>
      </c>
      <c r="C28" s="35" t="d">
        <f>Control_9 Close_time</f>
        <v>2023-05-26T16:41:00.00000026542693050</v>
      </c>
      <c r="D28" s="36" t="str">
        <f>IF(ISBLANK(Locale Control_9),"",Locale Control_9)</f>
        <v>Gibsons</v>
      </c>
      <c r="E28" s="28" t="str">
        <f>IF(ISBLANK(Control_9 Establishment_2),"",Control_9 Establishment_2)</f>
        <v>Trailhead parking lot</v>
      </c>
      <c r="F28" s="85" t="str">
        <f>IF(ISBLANK('Control Entry'!J23),"",'Control Entry'!J23)</f>
        <v/>
      </c>
      <c r="G28" s="86"/>
      <c r="H28" s="24" t="s">
        <v>29</v>
      </c>
    </row>
    <row r="29" spans="1:22" ht="36" customHeight="1" thickBot="1" x14ac:dyDescent="0.25">
      <c r="A29" s="29"/>
      <c r="B29" s="30" t="d">
        <f>Control_9 Open_time</f>
        <v>2023-05-26T02:09:00.00000008381903175</v>
      </c>
      <c r="C29" s="30" t="d">
        <f>Control_9 Close_time</f>
        <v>2023-05-26T16:41:00.00000026542693050</v>
      </c>
      <c r="D29" s="31"/>
      <c r="E29" s="32" t="str">
        <f>IF(ISBLANK(Control_9 Establishment_3),"",Control_9 Establishment_3)</f>
        <v>Photo</v>
      </c>
      <c r="F29" s="90" t="str">
        <f>IF(ISBLANK('Control Entry'!K23),"",'Control Entry'!K23)</f>
        <v/>
      </c>
      <c r="G29" s="89"/>
      <c r="H29" s="24" t="s">
        <v>29</v>
      </c>
      <c r="M29" s="137" t="s">
        <v>42</v>
      </c>
      <c r="N29" s="137"/>
      <c r="O29" s="137"/>
      <c r="P29" s="137"/>
      <c r="Q29" s="137"/>
      <c r="R29" s="137"/>
      <c r="S29" s="137"/>
      <c r="T29" s="137"/>
      <c r="U29" s="49"/>
    </row>
    <row r="30" spans="1:22" ht="36" customHeight="1" x14ac:dyDescent="0.2">
      <c r="A30" s="25"/>
      <c r="B30" s="26" t="d">
        <f>Control_10 Open_time</f>
        <v>2023-05-26T02:22:00.00000011175870900</v>
      </c>
      <c r="C30" s="26" t="d">
        <f>Control_10 Close_time</f>
        <v>2023-05-26T17:08:00.00000051688402575</v>
      </c>
      <c r="D30" s="33"/>
      <c r="E30" s="28" t="str">
        <f>IF(ISBLANK(Control_10 Establishment_1),"",Control_10 Establishment_1)</f>
        <v>Horseshoe Bay Ferry</v>
      </c>
      <c r="F30" s="85" t="str">
        <f>IF(ISBLANK('Control Entry'!I24),"",'Control Entry'!I24)</f>
        <v/>
      </c>
      <c r="G30" s="86"/>
      <c r="H30" s="24" t="s">
        <v>29</v>
      </c>
      <c r="M30" s="16"/>
      <c r="N30" s="18"/>
      <c r="O30" s="18"/>
      <c r="P30" s="19"/>
      <c r="Q30" s="16"/>
      <c r="R30" s="18"/>
      <c r="S30" s="18"/>
      <c r="T30" s="19"/>
    </row>
    <row r="31" spans="1:22" ht="36" customHeight="1" x14ac:dyDescent="0.2">
      <c r="A31" s="34">
        <f>IF(ISBLANK(Distance Control_10),"",Control_10 Distance)</f>
        <v>406.9</v>
      </c>
      <c r="B31" s="35" t="d">
        <f>Control_10 Open_time</f>
        <v>2023-05-26T02:22:00.00000011175870900</v>
      </c>
      <c r="C31" s="35" t="d">
        <f>Control_10 Close_time</f>
        <v>2023-05-26T17:08:00.00000051688402575</v>
      </c>
      <c r="D31" s="36" t="str">
        <f>IF(ISBLANK(Locale Control_10),"",Locale Control_10)</f>
        <v>Langdale</v>
      </c>
      <c r="E31" s="28" t="str">
        <f>IF(ISBLANK(Control_10 Establishment_2),"",Control_10 Establishment_2)</f>
        <v/>
      </c>
      <c r="F31" s="85" t="str">
        <f>IF(ISBLANK('Control Entry'!J24),"",'Control Entry'!J24)</f>
        <v/>
      </c>
      <c r="G31" s="86"/>
      <c r="H31" s="24" t="s">
        <v>29</v>
      </c>
      <c r="M31" s="17"/>
      <c r="P31" s="20"/>
      <c r="Q31" s="17"/>
      <c r="T31" s="20"/>
    </row>
    <row r="32" spans="1:22" ht="36" customHeight="1" thickBot="1" x14ac:dyDescent="0.25">
      <c r="A32" s="29"/>
      <c r="B32" s="30" t="d">
        <f>Control_10 Open_time</f>
        <v>2023-05-26T02:22:00.00000011175870900</v>
      </c>
      <c r="C32" s="30" t="d">
        <f>Control_10 Close_time</f>
        <v>2023-05-26T17:08:00.00000051688402575</v>
      </c>
      <c r="D32" s="31"/>
      <c r="E32" s="32" t="str">
        <f>IF(ISBLANK(Control_10 Establishment_3),"",Control_10 Establishment_3)</f>
        <v/>
      </c>
      <c r="F32" s="90" t="str">
        <f>IF(ISBLANK('Control Entry'!K24),"",'Control Entry'!K24)</f>
        <v/>
      </c>
      <c r="G32" s="89"/>
      <c r="H32" s="24" t="s">
        <v>29</v>
      </c>
      <c r="M32" s="129" t="s">
        <v>82</v>
      </c>
      <c r="N32" s="130"/>
      <c r="O32" s="130"/>
      <c r="P32" s="131"/>
      <c r="Q32" s="132" t="d">
        <f>'Control Entry'!B3</f>
        <v>2022-11-09</v>
      </c>
      <c r="R32" s="133"/>
      <c r="S32" s="133"/>
      <c r="T32" s="134"/>
    </row>
    <row r="33" spans="1:22" ht="36" customHeight="1" x14ac:dyDescent="0.2">
      <c r="A33" s="124" t="s">
        <v>43</v>
      </c>
      <c r="B33" s="124"/>
      <c r="C33" s="124"/>
      <c r="D33" s="124"/>
      <c r="E33" s="124"/>
      <c r="F33" s="124"/>
      <c r="G33" s="124"/>
      <c r="H33" s="37"/>
      <c r="I33" s="37"/>
      <c r="M33" s="138" t="s">
        <v>86</v>
      </c>
      <c r="N33" s="139"/>
      <c r="O33" s="139"/>
      <c r="P33" s="139"/>
      <c r="Q33" s="140" t="d">
        <f>'Control Entry'!B4</f>
        <v>2023-05-27</v>
      </c>
      <c r="R33" s="127"/>
      <c r="S33" s="127"/>
      <c r="T33" s="127"/>
      <c r="V33" s="44"/>
    </row>
    <row r="34" spans="1:22" ht="36" customHeight="1" x14ac:dyDescent="0.2">
      <c r="A34"/>
      <c r="O34" s="15"/>
      <c r="P34" s="15"/>
      <c r="Q34" s="15"/>
      <c r="R34" s="42"/>
    </row>
    <row r="35" spans="1:22" ht="36" customHeight="1" x14ac:dyDescent="0.2">
      <c r="A35"/>
      <c r="N35" s="137"/>
      <c r="O35" s="137"/>
      <c r="P35" s="137"/>
      <c r="Q35" s="137"/>
      <c r="R35" s="137"/>
      <c r="S35" s="137"/>
      <c r="T35" s="137"/>
      <c r="U35" s="137"/>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iDQb38Z5WZp87lXMQAT4xTXeXKPICpVt+wSBVo/dofQxJAYMrgvpXFZDzKlfo5JR1/olCdCIytlMSqpHKz79Wg==" saltValue="3TGUHDVIfOEKM0XlLUm4zg==" spinCount="100000" sheet="1" objects="1" scenarios="1" formatCells="0" selectLockedCells="1"/>
  <mergeCells count="41">
    <mergeCell ref="U25:V25"/>
    <mergeCell ref="N35:U35"/>
    <mergeCell ref="M29:T29"/>
    <mergeCell ref="N27:O27"/>
    <mergeCell ref="P27:Q27"/>
    <mergeCell ref="S27:T27"/>
    <mergeCell ref="U27:V27"/>
    <mergeCell ref="M33:P33"/>
    <mergeCell ref="Q33:T33"/>
    <mergeCell ref="A1:G1"/>
    <mergeCell ref="A33:G33"/>
    <mergeCell ref="M4:T4"/>
    <mergeCell ref="P25:Q25"/>
    <mergeCell ref="S25:T25"/>
    <mergeCell ref="S12:U12"/>
    <mergeCell ref="R13:U13"/>
    <mergeCell ref="R5:U5"/>
    <mergeCell ref="K2:U2"/>
    <mergeCell ref="L8:Q8"/>
    <mergeCell ref="M32:P32"/>
    <mergeCell ref="Q32:T32"/>
    <mergeCell ref="T8:U8"/>
    <mergeCell ref="L20:N20"/>
    <mergeCell ref="L11:N11"/>
    <mergeCell ref="L12:N12"/>
    <mergeCell ref="N5:O5"/>
    <mergeCell ref="K27:L27"/>
    <mergeCell ref="J25:N25"/>
    <mergeCell ref="O3:R3"/>
    <mergeCell ref="S20:U20"/>
    <mergeCell ref="L15:U15"/>
    <mergeCell ref="L6:U6"/>
    <mergeCell ref="S24:U24"/>
    <mergeCell ref="J24:N24"/>
    <mergeCell ref="L9:U9"/>
    <mergeCell ref="L10:U10"/>
    <mergeCell ref="L16:U16"/>
    <mergeCell ref="L22:N22"/>
    <mergeCell ref="S22:U22"/>
    <mergeCell ref="L13:N13"/>
    <mergeCell ref="S11:U11"/>
  </mergeCells>
  <phoneticPr fontId="16" type="noConversion"/>
  <pageMargins left="0.2" right="0.2" top="0.2" bottom="0.2" header="0.51" footer="0.51"/>
  <pageSetup scale="45" orientation="landscape" horizontalDpi="4294967292" verticalDpi="4294967292"/>
  <ignoredErrors>
    <ignoredError sqref="L20" unlockedFormula="1"/>
  </ignoredErrors>
  <drawing r:id="rId1"/>
  <extLst>
    <ext xmlns="http://schemas.openxmlformats.org/spreadsheetml/2006/main" xmlns:mx="http://schemas.microsoft.com/office/mac/excel/2008/main" uri="{64002731-A6B0-56B0-2670-7721B7C09600}">
      <mx:PLV Mode="0" OnePage="0" WScale="100"/>
    </ext>
  </extLs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zoomScale="92" zoomScaleNormal="92" zoomScalePageLayoutView="92" workbookViewId="0">
      <selection activeCell="F8" sqref="F8"/>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customWidth="1"/>
    <col min="9" max="9" width="12" customWidth="1"/>
    <col min="12" max="14" width="9" customWidth="1"/>
    <col min="18" max="18" width="8.83203125" customWidth="1"/>
    <col min="19" max="19" width="9" customWidth="1"/>
  </cols>
  <sheetData>
    <row r="1" spans="1:22" ht="21" thickBot="1" x14ac:dyDescent="0.2">
      <c r="A1" s="123" t="s">
        <v>74</v>
      </c>
      <c r="B1" s="123"/>
      <c r="C1" s="123"/>
      <c r="D1" s="123"/>
      <c r="E1" s="123"/>
      <c r="F1" s="123"/>
      <c r="G1" s="123"/>
      <c r="H1" s="24" t="s">
        <v>29</v>
      </c>
    </row>
    <row r="2" spans="1:22" ht="33.75" customHeight="1" thickBot="1" x14ac:dyDescent="0.25">
      <c r="A2" s="65" t="s">
        <v>30</v>
      </c>
      <c r="B2" s="9" t="s">
        <v>3</v>
      </c>
      <c r="C2" s="9" t="s">
        <v>4</v>
      </c>
      <c r="D2" s="9" t="s">
        <v>25</v>
      </c>
      <c r="E2" s="9" t="s">
        <v>31</v>
      </c>
      <c r="F2" s="9" t="s">
        <v>59</v>
      </c>
      <c r="G2" s="65" t="s">
        <v>32</v>
      </c>
      <c r="H2" s="24" t="s">
        <v>29</v>
      </c>
      <c r="K2" s="127" t="s">
        <v>55</v>
      </c>
      <c r="L2" s="127"/>
      <c r="M2" s="127"/>
      <c r="N2" s="127"/>
      <c r="O2" s="127"/>
      <c r="P2" s="127"/>
      <c r="Q2" s="127"/>
      <c r="R2" s="127"/>
      <c r="S2" s="127"/>
      <c r="T2" s="127"/>
      <c r="U2" s="127"/>
    </row>
    <row r="3" spans="1:22" ht="36" customHeight="1" x14ac:dyDescent="0.45">
      <c r="A3" s="25"/>
      <c r="B3" s="26" t="d">
        <f>'Control Entry'!N28</f>
        <v>2023-05-26T04:03:00.00000037718563950</v>
      </c>
      <c r="C3" s="26" t="d">
        <f>'Control Entry'!O28</f>
        <v>2023-05-26T20:30:00.00000041909515875</v>
      </c>
      <c r="D3" s="27"/>
      <c r="E3" s="28" t="str">
        <f>IF(ISBLANK('Control Entry'!F28),"",'Control Entry'!F28)</f>
        <v>Annacis Channel West Bridge</v>
      </c>
      <c r="F3" s="85" t="str">
        <f>IF(ISBLANK('Control Entry'!I28),"",'Control Entry'!I28)</f>
        <v/>
      </c>
      <c r="G3" s="86"/>
      <c r="H3" s="24" t="s">
        <v>29</v>
      </c>
      <c r="K3" s="14"/>
      <c r="O3" s="112" t="s">
        <v>73</v>
      </c>
      <c r="P3" s="112"/>
      <c r="Q3" s="112"/>
      <c r="R3" s="112"/>
      <c r="S3" s="75" t="str">
        <f>IF('Control Entry'!D28=0,"","#2")</f>
        <v>#2</v>
      </c>
      <c r="U3" s="38"/>
    </row>
    <row r="4" spans="1:22" ht="36" customHeight="1" x14ac:dyDescent="0.2">
      <c r="A4" s="34">
        <f>IF(ISBLANK('Control Entry'!D28),"",'Control Entry'!D28)</f>
        <v>457.6</v>
      </c>
      <c r="B4" s="35" t="d">
        <f>'Control Entry'!N28</f>
        <v>2023-05-26T04:03:00.00000037718563950</v>
      </c>
      <c r="C4" s="35" t="d">
        <f>'Control Entry'!O28</f>
        <v>2023-05-26T20:30:00.00000041909515875</v>
      </c>
      <c r="D4" s="36" t="str">
        <f>IF(ISBLANK('Control Entry'!E28),"",'Control Entry'!E28)</f>
        <v>Richmond/ Delta</v>
      </c>
      <c r="E4" s="28" t="str">
        <f>IF(ISBLANK('Control Entry'!G28),"",'Control Entry'!G28)</f>
        <v>Photo of Annacis Channel</v>
      </c>
      <c r="F4" s="85" t="str">
        <f>IF(ISBLANK('Control Entry'!J28),"",'Control Entry'!J28)</f>
        <v/>
      </c>
      <c r="G4" s="86"/>
      <c r="H4" s="24" t="s">
        <v>29</v>
      </c>
      <c r="K4" s="14"/>
      <c r="M4" s="109" t="str">
        <f>IF(ISBLANK(brevet),"",brevet&amp;" km Randonnée")</f>
        <v>600 km Randonnée</v>
      </c>
      <c r="N4" s="109"/>
      <c r="O4" s="109"/>
      <c r="P4" s="109"/>
      <c r="Q4" s="109"/>
      <c r="R4" s="109"/>
      <c r="S4" s="109"/>
      <c r="T4" s="109"/>
      <c r="U4" s="39"/>
    </row>
    <row r="5" spans="1:22" ht="36" customHeight="1" thickBot="1" x14ac:dyDescent="0.25">
      <c r="A5" s="29"/>
      <c r="B5" s="30" t="d">
        <f>'Control Entry'!N28</f>
        <v>2023-05-26T04:03:00.00000037718563950</v>
      </c>
      <c r="C5" s="30" t="d">
        <f>'Control Entry'!O28</f>
        <v>2023-05-26T20:30:00.00000041909515875</v>
      </c>
      <c r="D5" s="31"/>
      <c r="E5" s="32" t="str">
        <f>IF(ISBLANK('Control Entry'!H28),"",'Control Entry'!H28)</f>
        <v/>
      </c>
      <c r="F5" s="90" t="str">
        <f>IF(ISBLANK('Control Entry'!K28),"",'Control Entry'!K28)</f>
        <v/>
      </c>
      <c r="G5" s="89"/>
      <c r="H5" s="24" t="s">
        <v>29</v>
      </c>
      <c r="K5" s="14"/>
      <c r="M5" s="15"/>
      <c r="N5" s="108" t="s">
        <v>47</v>
      </c>
      <c r="O5" s="108"/>
      <c r="P5" s="52" t="str">
        <f>IF(ISBLANK(Brevet_Number),"",Brevet_Number)</f>
        <v>Perm 235</v>
      </c>
      <c r="Q5" s="53"/>
      <c r="R5" s="126" t="d">
        <f>IF(ISBLANK('Control Entry'!$B10),"",'Control Entry'!$B10)</f>
        <v>2023-05-25</v>
      </c>
      <c r="S5" s="126"/>
      <c r="T5" s="126"/>
      <c r="U5" s="126"/>
      <c r="V5" s="40"/>
    </row>
    <row r="6" spans="1:22" ht="36" customHeight="1" x14ac:dyDescent="0.2">
      <c r="A6" s="25"/>
      <c r="B6" s="26" t="d">
        <f>'Control Entry'!N29</f>
        <v>2023-05-26T05:06:00.00000012572854425</v>
      </c>
      <c r="C6" s="26" t="d">
        <f>'Control Entry'!O29</f>
        <v>2023-05-26T22:35:59.99999991618096825</v>
      </c>
      <c r="D6" s="33"/>
      <c r="E6" s="28" t="str">
        <f>IF(ISBLANK('Control Entry'!F29),"",'Control Entry'!F29)</f>
        <v>Ferry Terminal</v>
      </c>
      <c r="F6" s="85" t="str">
        <f>IF(ISBLANK('Control Entry'!I29),"",'Control Entry'!I29)</f>
        <v/>
      </c>
      <c r="G6" s="86"/>
      <c r="H6" s="24" t="s">
        <v>29</v>
      </c>
      <c r="K6" s="14"/>
      <c r="L6" s="115" t="str">
        <f>IF(ISBLANK(Brevet_Description),"",Brevet_Description)</f>
        <v>Permanent: 5-Ferries 600</v>
      </c>
      <c r="M6" s="115"/>
      <c r="N6" s="115"/>
      <c r="O6" s="115"/>
      <c r="P6" s="115"/>
      <c r="Q6" s="115"/>
      <c r="R6" s="115"/>
      <c r="S6" s="115"/>
      <c r="T6" s="115"/>
      <c r="U6" s="115"/>
    </row>
    <row r="7" spans="1:22" ht="36" customHeight="1" x14ac:dyDescent="0.2">
      <c r="A7" s="34">
        <f>IF(ISBLANK('Control Entry'!D29),"",'Control Entry'!D29)</f>
        <v>489.1</v>
      </c>
      <c r="B7" s="35" t="d">
        <f>'Control Entry'!N29</f>
        <v>2023-05-26T05:06:00.00000012572854425</v>
      </c>
      <c r="C7" s="35" t="d">
        <f>'Control Entry'!O29</f>
        <v>2023-05-26T22:35:59.99999991618096825</v>
      </c>
      <c r="D7" s="36" t="str">
        <f>IF(ISBLANK('Control Entry'!E29),"",'Control Entry'!E29)</f>
        <v>Tsawwassen</v>
      </c>
      <c r="E7" s="28" t="str">
        <f>IF(ISBLANK('Control Entry'!G29),"",'Control Entry'!G29)</f>
        <v/>
      </c>
      <c r="F7" s="85" t="str">
        <f>IF(ISBLANK('Control Entry'!J29),"",'Control Entry'!J29)</f>
        <v/>
      </c>
      <c r="G7" s="86"/>
      <c r="H7" s="24" t="s">
        <v>29</v>
      </c>
    </row>
    <row r="8" spans="1:22" ht="36" customHeight="1" thickBot="1" x14ac:dyDescent="0.25">
      <c r="A8" s="29"/>
      <c r="B8" s="30" t="d">
        <f>'Control Entry'!N29</f>
        <v>2023-05-26T05:06:00.00000012572854425</v>
      </c>
      <c r="C8" s="30" t="d">
        <f>'Control Entry'!O29</f>
        <v>2023-05-26T22:35:59.99999991618096825</v>
      </c>
      <c r="D8" s="31"/>
      <c r="E8" s="32" t="str">
        <f>IF(ISBLANK('Control Entry'!H29),"",'Control Entry'!H29)</f>
        <v/>
      </c>
      <c r="F8" s="90" t="str">
        <f>IF(ISBLANK('Control Entry'!K29),"",'Control Entry'!K29)</f>
        <v/>
      </c>
      <c r="G8" s="89"/>
      <c r="H8" s="24" t="s">
        <v>29</v>
      </c>
      <c r="J8" s="15" t="s">
        <v>34</v>
      </c>
      <c r="L8" s="128"/>
      <c r="M8" s="128"/>
      <c r="N8" s="128"/>
      <c r="O8" s="128"/>
      <c r="P8" s="128"/>
      <c r="Q8" s="128"/>
      <c r="S8" s="41" t="s">
        <v>46</v>
      </c>
      <c r="T8" s="135"/>
      <c r="U8" s="135"/>
    </row>
    <row r="9" spans="1:22" ht="36" customHeight="1" thickBot="1" x14ac:dyDescent="0.3">
      <c r="A9" s="25"/>
      <c r="B9" s="26" t="d">
        <f>'Control Entry'!N30</f>
        <v>2023-05-26T06:15:00.00000041909515875</v>
      </c>
      <c r="C9" s="26" t="d">
        <f>'Control Entry'!O30</f>
        <v>2023-05-27T00:54:00.00000050291419050</v>
      </c>
      <c r="D9" s="33"/>
      <c r="E9" s="28" t="str">
        <f>IF(ISBLANK('Control Entry'!F30),"",'Control Entry'!F30)</f>
        <v>University of Victoria Directory Sign</v>
      </c>
      <c r="F9" s="85" t="str">
        <f>IF(ISBLANK('Control Entry'!I30),"",'Control Entry'!I30)</f>
        <v/>
      </c>
      <c r="G9" s="86"/>
      <c r="H9" s="24" t="s">
        <v>29</v>
      </c>
      <c r="J9" s="15" t="s">
        <v>35</v>
      </c>
      <c r="K9" s="15"/>
      <c r="L9" s="117" t="s">
        <v>54</v>
      </c>
      <c r="M9" s="117"/>
      <c r="N9" s="117"/>
      <c r="O9" s="117"/>
      <c r="P9" s="117"/>
      <c r="Q9" s="117"/>
      <c r="R9" s="117"/>
      <c r="S9" s="117"/>
      <c r="T9" s="117"/>
      <c r="U9" s="117"/>
    </row>
    <row r="10" spans="1:22" ht="36" customHeight="1" thickBot="1" x14ac:dyDescent="0.3">
      <c r="A10" s="34">
        <f>IF(ISBLANK('Control Entry'!D30),"",'Control Entry'!D30)</f>
        <v>523.4</v>
      </c>
      <c r="B10" s="35" t="d">
        <f>'Control Entry'!N30</f>
        <v>2023-05-26T06:15:00.00000041909515875</v>
      </c>
      <c r="C10" s="35" t="d">
        <f>'Control Entry'!O30</f>
        <v>2023-05-27T00:54:00.00000050291419050</v>
      </c>
      <c r="D10" s="36" t="str">
        <f>IF(ISBLANK('Control Entry'!E30),"",'Control Entry'!E30)</f>
        <v>Saanich</v>
      </c>
      <c r="E10" s="28" t="str">
        <f>IF(ISBLANK('Control Entry'!G30),"",'Control Entry'!G30)</f>
        <v>Finnerty Road (pull out by bus stops)</v>
      </c>
      <c r="F10" s="85" t="str">
        <f>IF(ISBLANK('Control Entry'!J30),"",'Control Entry'!J30)</f>
        <v/>
      </c>
      <c r="G10" s="86"/>
      <c r="H10" s="24" t="s">
        <v>29</v>
      </c>
      <c r="J10" s="15"/>
      <c r="K10" s="15"/>
      <c r="L10" s="118"/>
      <c r="M10" s="118"/>
      <c r="N10" s="118"/>
      <c r="O10" s="118"/>
      <c r="P10" s="118"/>
      <c r="Q10" s="118"/>
      <c r="R10" s="118"/>
      <c r="S10" s="118"/>
      <c r="T10" s="118"/>
      <c r="U10" s="118"/>
    </row>
    <row r="11" spans="1:22" ht="36" customHeight="1" thickBot="1" x14ac:dyDescent="0.3">
      <c r="A11" s="29"/>
      <c r="B11" s="30" t="d">
        <f>'Control Entry'!N30</f>
        <v>2023-05-26T06:15:00.00000041909515875</v>
      </c>
      <c r="C11" s="30" t="d">
        <f>'Control Entry'!O30</f>
        <v>2023-05-27T00:54:00.00000050291419050</v>
      </c>
      <c r="D11" s="31"/>
      <c r="E11" s="32" t="str">
        <f>IF(ISBLANK('Control Entry'!H30),"",'Control Entry'!H30)</f>
        <v>Photo</v>
      </c>
      <c r="F11" s="90" t="str">
        <f>IF(ISBLANK('Control Entry'!K30),"",'Control Entry'!K30)</f>
        <v/>
      </c>
      <c r="G11" s="89"/>
      <c r="H11" s="24" t="s">
        <v>29</v>
      </c>
      <c r="J11" s="15" t="s">
        <v>36</v>
      </c>
      <c r="K11" s="15"/>
      <c r="L11" s="118"/>
      <c r="M11" s="118"/>
      <c r="N11" s="118"/>
      <c r="O11" s="15"/>
      <c r="P11" s="15" t="s">
        <v>37</v>
      </c>
      <c r="Q11" s="15"/>
      <c r="R11" s="15"/>
      <c r="S11" s="122"/>
      <c r="T11" s="122"/>
      <c r="U11" s="122"/>
    </row>
    <row r="12" spans="1:22" ht="36" customHeight="1" thickBot="1" x14ac:dyDescent="0.3">
      <c r="A12" s="25"/>
      <c r="B12" s="26" t="d">
        <f>'Control Entry'!N31</f>
        <v>2023-05-26T07:12:00.00000025145709525</v>
      </c>
      <c r="C12" s="26" t="d">
        <f>'Control Entry'!O31</f>
        <v>2023-05-27T02:48:00.00000016763806350</v>
      </c>
      <c r="D12" s="33"/>
      <c r="E12" s="28" t="str">
        <f>IF(ISBLANK('Control Entry'!F31),"",'Control Entry'!F31)</f>
        <v>Metchosin Country Store</v>
      </c>
      <c r="F12" s="85" t="str">
        <f>IF(ISBLANK('Control Entry'!I31),"",'Control Entry'!I31)</f>
        <v/>
      </c>
      <c r="G12" s="86"/>
      <c r="H12" s="24" t="s">
        <v>29</v>
      </c>
      <c r="J12" s="15" t="s">
        <v>38</v>
      </c>
      <c r="K12" s="15"/>
      <c r="L12" s="118"/>
      <c r="M12" s="118"/>
      <c r="N12" s="118"/>
      <c r="O12" s="15"/>
      <c r="P12" s="15" t="s">
        <v>39</v>
      </c>
      <c r="Q12" s="15"/>
      <c r="R12" s="15"/>
      <c r="S12" s="122"/>
      <c r="T12" s="122"/>
      <c r="U12" s="122"/>
    </row>
    <row r="13" spans="1:22" ht="36" customHeight="1" thickBot="1" x14ac:dyDescent="0.3">
      <c r="A13" s="34">
        <f>IF(ISBLANK('Control Entry'!D31),"",'Control Entry'!D31)</f>
        <v>552</v>
      </c>
      <c r="B13" s="35" t="d">
        <f>'Control Entry'!N31</f>
        <v>2023-05-26T07:12:00.00000025145709525</v>
      </c>
      <c r="C13" s="35" t="d">
        <f>'Control Entry'!O31</f>
        <v>2023-05-27T02:48:00.00000016763806350</v>
      </c>
      <c r="D13" s="36" t="str">
        <f>IF(ISBLANK('Control Entry'!E31),"",'Control Entry'!E31)</f>
        <v>Metchosin</v>
      </c>
      <c r="E13" s="28" t="str">
        <f>IF(ISBLANK('Control Entry'!G31),"",'Control Entry'!G31)</f>
        <v>4384 Metchosin Rd</v>
      </c>
      <c r="F13" s="85" t="str">
        <f>IF(ISBLANK('Control Entry'!J31),"",'Control Entry'!J31)</f>
        <v/>
      </c>
      <c r="G13" s="86"/>
      <c r="H13" s="24" t="s">
        <v>29</v>
      </c>
      <c r="J13" s="15" t="s">
        <v>40</v>
      </c>
      <c r="L13" s="121"/>
      <c r="M13" s="121"/>
      <c r="N13" s="121"/>
      <c r="P13" s="15" t="s">
        <v>41</v>
      </c>
      <c r="Q13" s="15"/>
      <c r="R13" s="125"/>
      <c r="S13" s="125"/>
      <c r="T13" s="125"/>
      <c r="U13" s="125"/>
    </row>
    <row r="14" spans="1:22" ht="36" customHeight="1" thickBot="1" x14ac:dyDescent="0.25">
      <c r="A14" s="29"/>
      <c r="B14" s="30" t="d">
        <f>'Control Entry'!N31</f>
        <v>2023-05-26T07:12:00.00000025145709525</v>
      </c>
      <c r="C14" s="30" t="d">
        <f>'Control Entry'!O31</f>
        <v>2023-05-27T02:48:00.00000016763806350</v>
      </c>
      <c r="D14" s="31"/>
      <c r="E14" s="32" t="str">
        <f>IF(ISBLANK('Control Entry'!H31),"",'Control Entry'!H31)</f>
        <v>Self-sign if closed</v>
      </c>
      <c r="F14" s="90" t="str">
        <f>IF(ISBLANK('Control Entry'!K31),"",'Control Entry'!K31)</f>
        <v/>
      </c>
      <c r="G14" s="89"/>
      <c r="H14" s="24" t="s">
        <v>29</v>
      </c>
    </row>
    <row r="15" spans="1:22" ht="36" customHeight="1" x14ac:dyDescent="0.2">
      <c r="A15" s="25"/>
      <c r="B15" s="26" t="d">
        <f>'Control Entry'!N32</f>
        <v>2023-05-26T07:58:00.00000044703483600</v>
      </c>
      <c r="C15" s="26" t="d">
        <f>'Control Entry'!O32</f>
        <v>2023-05-27T04:19:59.99999993015081025</v>
      </c>
      <c r="D15" s="33"/>
      <c r="E15" s="28" t="str">
        <f>IF(ISBLANK('Control Entry'!F32),"",'Control Entry'!F32)</f>
        <v xml:space="preserve">Saxe Point </v>
      </c>
      <c r="F15" s="85" t="str">
        <f>IF(ISBLANK('Control Entry'!I32),"",'Control Entry'!I32)</f>
        <v/>
      </c>
      <c r="G15" s="86"/>
      <c r="H15" s="24" t="s">
        <v>29</v>
      </c>
      <c r="J15" s="15"/>
      <c r="L15" s="114" t="s">
        <v>58</v>
      </c>
      <c r="M15" s="114"/>
      <c r="N15" s="114"/>
      <c r="O15" s="114"/>
      <c r="P15" s="114"/>
      <c r="Q15" s="114"/>
      <c r="R15" s="114"/>
      <c r="S15" s="114"/>
      <c r="T15" s="114"/>
      <c r="U15" s="114"/>
    </row>
    <row r="16" spans="1:22" ht="36" customHeight="1" thickBot="1" x14ac:dyDescent="0.25">
      <c r="A16" s="34">
        <f>IF(ISBLANK('Control Entry'!D32),"",'Control Entry'!D32)</f>
        <v>574.9</v>
      </c>
      <c r="B16" s="35" t="d">
        <f>'Control Entry'!N32</f>
        <v>2023-05-26T07:58:00.00000044703483600</v>
      </c>
      <c r="C16" s="35" t="d">
        <f>'Control Entry'!O32</f>
        <v>2023-05-27T04:19:59.99999993015081025</v>
      </c>
      <c r="D16" s="36" t="str">
        <f>IF(ISBLANK('Control Entry'!E32),"",'Control Entry'!E32)</f>
        <v>Esquimalt</v>
      </c>
      <c r="E16" s="28" t="str">
        <f>IF(ISBLANK('Control Entry'!G32),"",'Control Entry'!G32)</f>
        <v>Fraser Street, End of road</v>
      </c>
      <c r="F16" s="85" t="str">
        <f>IF(ISBLANK('Control Entry'!J32),"",'Control Entry'!J32)</f>
        <v/>
      </c>
      <c r="G16" s="86"/>
      <c r="H16" s="24" t="s">
        <v>29</v>
      </c>
      <c r="L16" s="119"/>
      <c r="M16" s="119"/>
      <c r="N16" s="119"/>
      <c r="O16" s="119"/>
      <c r="P16" s="119"/>
      <c r="Q16" s="119"/>
      <c r="R16" s="119"/>
      <c r="S16" s="119"/>
      <c r="T16" s="119"/>
      <c r="U16" s="119"/>
    </row>
    <row r="17" spans="1:22" ht="36" customHeight="1" thickBot="1" x14ac:dyDescent="0.25">
      <c r="A17" s="29"/>
      <c r="B17" s="30" t="d">
        <f>'Control Entry'!N32</f>
        <v>2023-05-26T07:58:00.00000044703483600</v>
      </c>
      <c r="C17" s="30" t="d">
        <f>'Control Entry'!O32</f>
        <v>2023-05-27T04:19:59.99999993015081025</v>
      </c>
      <c r="D17" s="31"/>
      <c r="E17" s="32" t="str">
        <f>IF(ISBLANK('Control Entry'!H32),"",'Control Entry'!H32)</f>
        <v>Photo</v>
      </c>
      <c r="F17" s="90" t="str">
        <f>IF(ISBLANK('Control Entry'!K32),"",'Control Entry'!K32)</f>
        <v/>
      </c>
      <c r="G17" s="89"/>
      <c r="H17" s="24" t="s">
        <v>29</v>
      </c>
    </row>
    <row r="18" spans="1:22" ht="36" customHeight="1" x14ac:dyDescent="0.2">
      <c r="A18" s="25"/>
      <c r="B18" s="26" t="d">
        <f>'Control Entry'!N33</f>
        <v>2023-05-26T08:33:59.99999994412064550</v>
      </c>
      <c r="C18" s="26" t="d">
        <f>'Control Entry'!O33</f>
        <v>2023-05-27T05:32:00.00000018160789875</v>
      </c>
      <c r="D18" s="33"/>
      <c r="E18" s="28" t="str">
        <f>IF(ISBLANK('Control Entry'!F33),"",'Control Entry'!F33)</f>
        <v>The Windsor Café</v>
      </c>
      <c r="F18" s="85" t="str">
        <f>IF(ISBLANK('Control Entry'!I33),"",'Control Entry'!I33)</f>
        <v/>
      </c>
      <c r="G18" s="86"/>
      <c r="H18" s="24" t="s">
        <v>29</v>
      </c>
    </row>
    <row r="19" spans="1:22" ht="36" customHeight="1" x14ac:dyDescent="0.2">
      <c r="A19" s="34">
        <f>IF(ISBLANK('Control Entry'!D33),"",'Control Entry'!D33)</f>
        <v>592.9</v>
      </c>
      <c r="B19" s="35" t="d">
        <f>'Control Entry'!N33</f>
        <v>2023-05-26T08:33:59.99999994412064550</v>
      </c>
      <c r="C19" s="35" t="d">
        <f>'Control Entry'!O33</f>
        <v>2023-05-27T05:32:00.00000018160789875</v>
      </c>
      <c r="D19" s="36" t="str">
        <f>IF(ISBLANK('Control Entry'!E33),"",'Control Entry'!E33)</f>
        <v>Oak Bay</v>
      </c>
      <c r="E19" s="28" t="str">
        <f>IF(ISBLANK('Control Entry'!G33),"",'Control Entry'!G33)</f>
        <v>2540 Windsor Rd</v>
      </c>
      <c r="F19" s="85" t="str">
        <f>IF(ISBLANK('Control Entry'!J33),"",'Control Entry'!J33)</f>
        <v/>
      </c>
      <c r="G19" s="86"/>
      <c r="H19" s="24" t="s">
        <v>29</v>
      </c>
    </row>
    <row r="20" spans="1:22" ht="36" customHeight="1" thickBot="1" x14ac:dyDescent="0.25">
      <c r="A20" s="29"/>
      <c r="B20" s="30" t="d">
        <f>'Control Entry'!N33</f>
        <v>2023-05-26T08:33:59.99999994412064550</v>
      </c>
      <c r="C20" s="30" t="d">
        <f>'Control Entry'!O33</f>
        <v>2023-05-27T05:32:00.00000018160789875</v>
      </c>
      <c r="D20" s="31"/>
      <c r="E20" s="32" t="str">
        <f>IF(ISBLANK('Control Entry'!H33),"",'Control Entry'!H33)</f>
        <v>Self-sign if closed</v>
      </c>
      <c r="F20" s="90" t="str">
        <f>IF(ISBLANK('Control Entry'!K33),"",'Control Entry'!K33)</f>
        <v/>
      </c>
      <c r="G20" s="89"/>
      <c r="H20" s="24" t="s">
        <v>29</v>
      </c>
      <c r="J20" s="50" t="s">
        <v>44</v>
      </c>
      <c r="K20" s="50"/>
      <c r="L20" s="141" t="d">
        <f>IF(ISBLANK('Control Entry'!B12),"",'Control Entry'!B12)</f>
        <v>2023-05-25</v>
      </c>
      <c r="M20" s="141"/>
      <c r="N20" s="141"/>
      <c r="P20" s="15" t="s">
        <v>0</v>
      </c>
      <c r="Q20" s="15"/>
      <c r="S20" s="113" t="d">
        <f>IF(ISBLANK('Control Entry'!B13),"",'Control Entry'!B13)</f>
        <v>14:00:00.0000000000031950</v>
      </c>
      <c r="T20" s="113"/>
      <c r="U20" s="113"/>
    </row>
    <row r="21" spans="1:22" ht="36" customHeight="1" x14ac:dyDescent="0.2">
      <c r="A21" s="25"/>
      <c r="B21" s="26" t="d">
        <f>'Control Entry'!N34</f>
        <v>2023-05-26T08:52:00.0000003213062850</v>
      </c>
      <c r="C21" s="26" t="d">
        <f>'Control Entry'!O34</f>
        <v>2023-05-27T06:00:00.000</v>
      </c>
      <c r="D21" s="33"/>
      <c r="E21" s="28" t="str">
        <f>IF(ISBLANK('Control Entry'!F34),"",'Control Entry'!F34)</f>
        <v>Discovery Coffee</v>
      </c>
      <c r="F21" s="85" t="str">
        <f>IF(ISBLANK('Control Entry'!I34),"",'Control Entry'!I34)</f>
        <v/>
      </c>
      <c r="G21" s="86"/>
      <c r="H21" s="24" t="s">
        <v>29</v>
      </c>
      <c r="J21" s="115" t="s">
        <v>90</v>
      </c>
      <c r="K21" s="115"/>
      <c r="L21" s="115"/>
      <c r="M21" s="115"/>
      <c r="N21" s="115"/>
      <c r="O21" s="115"/>
      <c r="P21" s="115"/>
      <c r="Q21" s="115"/>
      <c r="R21" s="115"/>
      <c r="S21" s="115"/>
      <c r="T21" s="115"/>
      <c r="U21" s="115"/>
    </row>
    <row r="22" spans="1:22" ht="36" customHeight="1" thickBot="1" x14ac:dyDescent="0.25">
      <c r="A22" s="34">
        <f>IF(ISBLANK('Control Entry'!D34),"",'Control Entry'!D34)</f>
        <v>601.70000000000005</v>
      </c>
      <c r="B22" s="35" t="d">
        <f>'Control Entry'!N34</f>
        <v>2023-05-26T08:52:00.0000003213062850</v>
      </c>
      <c r="C22" s="35" t="d">
        <f>'Control Entry'!O34</f>
        <v>2023-05-27T06:00:00.000</v>
      </c>
      <c r="D22" s="36" t="str">
        <f>IF(ISBLANK('Control Entry'!E34),"",'Control Entry'!E34)</f>
        <v>Victoria</v>
      </c>
      <c r="E22" s="28" t="str">
        <f>IF(ISBLANK('Control Entry'!G34),"",'Control Entry'!G34)</f>
        <v>1001 Blanshard St</v>
      </c>
      <c r="F22" s="85" t="str">
        <f>IF(ISBLANK('Control Entry'!J34),"",'Control Entry'!J34)</f>
        <v/>
      </c>
      <c r="G22" s="86"/>
      <c r="H22" s="24" t="s">
        <v>29</v>
      </c>
      <c r="J22" s="50" t="s">
        <v>45</v>
      </c>
      <c r="K22" s="50"/>
      <c r="L22" s="120"/>
      <c r="M22" s="120"/>
      <c r="N22" s="120"/>
      <c r="P22" s="15" t="s">
        <v>1</v>
      </c>
      <c r="Q22" s="15"/>
      <c r="S22" s="116"/>
      <c r="T22" s="116"/>
      <c r="U22" s="116"/>
    </row>
    <row r="23" spans="1:22" ht="36" customHeight="1" thickBot="1" x14ac:dyDescent="0.25">
      <c r="A23" s="29"/>
      <c r="B23" s="30" t="d">
        <f>'Control Entry'!N34</f>
        <v>2023-05-26T08:52:00.0000003213062850</v>
      </c>
      <c r="C23" s="30" t="d">
        <f>'Control Entry'!O34</f>
        <v>2023-05-27T06:00:00.000</v>
      </c>
      <c r="D23" s="31"/>
      <c r="E23" s="32" t="str">
        <f>IF(ISBLANK('Control Entry'!H34),"",'Control Entry'!H34)</f>
        <v>Self-sign if closed</v>
      </c>
      <c r="F23" s="90" t="str">
        <f>IF(ISBLANK('Control Entry'!K34),"",'Control Entry'!K34)</f>
        <v/>
      </c>
      <c r="G23" s="89"/>
      <c r="H23" s="24" t="s">
        <v>29</v>
      </c>
      <c r="J23" s="50"/>
      <c r="K23" s="50"/>
      <c r="L23" s="44"/>
      <c r="M23" s="44"/>
      <c r="N23" s="44"/>
      <c r="P23" s="15"/>
      <c r="Q23" s="15"/>
    </row>
    <row r="24" spans="1:22" ht="36" customHeight="1" thickBot="1" x14ac:dyDescent="0.25">
      <c r="A24" s="25"/>
      <c r="B24" s="26" t="str">
        <f>'Control Entry'!N35</f>
        <v/>
      </c>
      <c r="C24" s="26" t="str">
        <f>'Control Entry'!O35</f>
        <v/>
      </c>
      <c r="D24" s="33"/>
      <c r="E24" s="28" t="str">
        <f>IF(ISBLANK('Control Entry'!F35),"",'Control Entry'!F35)</f>
        <v/>
      </c>
      <c r="F24" s="85" t="str">
        <f>IF(ISBLANK('Control Entry'!I35),"",'Control Entry'!I35)</f>
        <v/>
      </c>
      <c r="G24" s="86"/>
      <c r="H24" s="24" t="s">
        <v>29</v>
      </c>
      <c r="J24" s="116"/>
      <c r="K24" s="116"/>
      <c r="L24" s="116"/>
      <c r="M24" s="116"/>
      <c r="N24" s="116"/>
      <c r="P24" s="15" t="s">
        <v>2</v>
      </c>
      <c r="Q24" s="15"/>
      <c r="S24" s="116"/>
      <c r="T24" s="116"/>
      <c r="U24" s="116"/>
    </row>
    <row r="25" spans="1:22" ht="36" customHeight="1" x14ac:dyDescent="0.2">
      <c r="A25" s="34" t="str">
        <f>IF(ISBLANK('Control Entry'!D35),"",'Control Entry'!D35)</f>
        <v/>
      </c>
      <c r="B25" s="35" t="str">
        <f>'Control Entry'!N35</f>
        <v/>
      </c>
      <c r="C25" s="35" t="str">
        <f>'Control Entry'!O35</f>
        <v/>
      </c>
      <c r="D25" s="36" t="str">
        <f>IF(ISBLANK('Control Entry'!E35),"",'Control Entry'!E35)</f>
        <v/>
      </c>
      <c r="E25" s="28" t="str">
        <f>IF(ISBLANK('Control Entry'!G35),"",'Control Entry'!G35)</f>
        <v/>
      </c>
      <c r="F25" s="85" t="str">
        <f>IF(ISBLANK('Control Entry'!J35),"",'Control Entry'!J35)</f>
        <v/>
      </c>
      <c r="G25" s="86"/>
      <c r="H25" s="24" t="s">
        <v>29</v>
      </c>
      <c r="J25" s="111" t="s">
        <v>17</v>
      </c>
      <c r="K25" s="111"/>
      <c r="L25" s="111"/>
      <c r="M25" s="111"/>
      <c r="N25" s="111"/>
      <c r="O25" s="46"/>
      <c r="P25" s="110"/>
      <c r="Q25" s="110"/>
      <c r="R25" s="46"/>
      <c r="S25" s="108"/>
      <c r="T25" s="108"/>
      <c r="U25" s="108"/>
      <c r="V25" s="108"/>
    </row>
    <row r="26" spans="1:22" ht="36" customHeight="1" thickBot="1" x14ac:dyDescent="0.25">
      <c r="A26" s="29"/>
      <c r="B26" s="30" t="str">
        <f>'Control Entry'!N35</f>
        <v/>
      </c>
      <c r="C26" s="30" t="str">
        <f>'Control Entry'!O35</f>
        <v/>
      </c>
      <c r="D26" s="31"/>
      <c r="E26" s="32" t="str">
        <f>IF(ISBLANK('Control Entry'!H35),"",'Control Entry'!H35)</f>
        <v/>
      </c>
      <c r="F26" s="90" t="str">
        <f>IF(ISBLANK('Control Entry'!K35),"",'Control Entry'!K35)</f>
        <v/>
      </c>
      <c r="G26" s="89"/>
      <c r="H26" s="24" t="s">
        <v>29</v>
      </c>
    </row>
    <row r="27" spans="1:22" ht="36" customHeight="1" x14ac:dyDescent="0.2">
      <c r="A27" s="25"/>
      <c r="B27" s="26" t="str">
        <f>'Control Entry'!N36</f>
        <v/>
      </c>
      <c r="C27" s="26" t="str">
        <f>'Control Entry'!O36</f>
        <v/>
      </c>
      <c r="D27" s="33"/>
      <c r="E27" s="28" t="str">
        <f>IF(ISBLANK('Control Entry'!F36),"",'Control Entry'!F36)</f>
        <v/>
      </c>
      <c r="F27" s="85" t="str">
        <f>IF(ISBLANK('Control Entry'!I36),"",'Control Entry'!I36)</f>
        <v/>
      </c>
      <c r="G27" s="86"/>
      <c r="H27" s="24" t="s">
        <v>29</v>
      </c>
      <c r="K27" s="109" t="s">
        <v>56</v>
      </c>
      <c r="L27" s="110"/>
      <c r="M27" s="45" t="s">
        <v>57</v>
      </c>
      <c r="N27" s="110" t="s">
        <v>49</v>
      </c>
      <c r="O27" s="110"/>
      <c r="P27" s="110" t="s">
        <v>50</v>
      </c>
      <c r="Q27" s="110"/>
      <c r="R27" s="46" t="s">
        <v>51</v>
      </c>
      <c r="S27" s="108" t="s">
        <v>52</v>
      </c>
      <c r="T27" s="108"/>
      <c r="U27" s="108" t="s">
        <v>53</v>
      </c>
      <c r="V27" s="108"/>
    </row>
    <row r="28" spans="1:22" ht="36" customHeight="1" x14ac:dyDescent="0.2">
      <c r="A28" s="34" t="str">
        <f>IF(ISBLANK('Control Entry'!D36),"",'Control Entry'!D36)</f>
        <v/>
      </c>
      <c r="B28" s="35" t="str">
        <f>'Control Entry'!N36</f>
        <v/>
      </c>
      <c r="C28" s="35" t="str">
        <f>'Control Entry'!O36</f>
        <v/>
      </c>
      <c r="D28" s="36" t="str">
        <f>IF(ISBLANK('Control Entry'!E36),"",'Control Entry'!E36)</f>
        <v/>
      </c>
      <c r="E28" s="28" t="str">
        <f>IF(ISBLANK('Control Entry'!G36),"",'Control Entry'!G36)</f>
        <v/>
      </c>
      <c r="F28" s="85" t="str">
        <f>IF(ISBLANK('Control Entry'!J36),"",'Control Entry'!J36)</f>
        <v/>
      </c>
      <c r="G28" s="86"/>
      <c r="H28" s="24" t="s">
        <v>29</v>
      </c>
    </row>
    <row r="29" spans="1:22" ht="36" customHeight="1" thickBot="1" x14ac:dyDescent="0.25">
      <c r="A29" s="29"/>
      <c r="B29" s="30" t="str">
        <f>'Control Entry'!N36</f>
        <v/>
      </c>
      <c r="C29" s="30" t="str">
        <f>'Control Entry'!O36</f>
        <v/>
      </c>
      <c r="D29" s="31"/>
      <c r="E29" s="32" t="str">
        <f>IF(ISBLANK('Control Entry'!H36),"",'Control Entry'!H36)</f>
        <v/>
      </c>
      <c r="F29" s="90" t="str">
        <f>IF(ISBLANK('Control Entry'!K36),"",'Control Entry'!K36)</f>
        <v/>
      </c>
      <c r="G29" s="89"/>
      <c r="H29" s="24" t="s">
        <v>29</v>
      </c>
      <c r="M29" s="137" t="s">
        <v>42</v>
      </c>
      <c r="N29" s="137"/>
      <c r="O29" s="137"/>
      <c r="P29" s="137"/>
      <c r="Q29" s="137"/>
      <c r="R29" s="137"/>
      <c r="S29" s="137"/>
      <c r="T29" s="137"/>
      <c r="U29" s="49"/>
    </row>
    <row r="30" spans="1:22" ht="36" customHeight="1" x14ac:dyDescent="0.2">
      <c r="A30" s="25"/>
      <c r="B30" s="26" t="str">
        <f>'Control Entry'!N37</f>
        <v/>
      </c>
      <c r="C30" s="26" t="str">
        <f>'Control Entry'!O37</f>
        <v/>
      </c>
      <c r="D30" s="33"/>
      <c r="E30" s="28" t="str">
        <f>IF(ISBLANK('Control Entry'!F37),"",'Control Entry'!F37)</f>
        <v/>
      </c>
      <c r="F30" s="85" t="str">
        <f>IF(ISBLANK('Control Entry'!I37),"",'Control Entry'!I37)</f>
        <v/>
      </c>
      <c r="G30" s="86"/>
      <c r="H30" s="24" t="s">
        <v>29</v>
      </c>
      <c r="M30" s="16"/>
      <c r="N30" s="18"/>
      <c r="O30" s="18"/>
      <c r="P30" s="19"/>
      <c r="Q30" s="16"/>
      <c r="R30" s="18"/>
      <c r="S30" s="18"/>
      <c r="T30" s="19"/>
    </row>
    <row r="31" spans="1:22" ht="36" customHeight="1" x14ac:dyDescent="0.2">
      <c r="A31" s="34" t="str">
        <f>IF(ISBLANK('Control Entry'!D37),"",'Control Entry'!D37)</f>
        <v/>
      </c>
      <c r="B31" s="35" t="str">
        <f>'Control Entry'!N37</f>
        <v/>
      </c>
      <c r="C31" s="35" t="str">
        <f>'Control Entry'!O37</f>
        <v/>
      </c>
      <c r="D31" s="36" t="str">
        <f>IF(ISBLANK('Control Entry'!E37),"",'Control Entry'!E37)</f>
        <v/>
      </c>
      <c r="E31" s="28" t="str">
        <f>IF(ISBLANK('Control Entry'!G37),"",'Control Entry'!G37)</f>
        <v/>
      </c>
      <c r="F31" s="85" t="str">
        <f>IF(ISBLANK('Control Entry'!J37),"",'Control Entry'!J37)</f>
        <v/>
      </c>
      <c r="G31" s="86"/>
      <c r="H31" s="24" t="s">
        <v>29</v>
      </c>
      <c r="M31" s="17"/>
      <c r="P31" s="20"/>
      <c r="Q31" s="17"/>
      <c r="T31" s="20"/>
    </row>
    <row r="32" spans="1:22" ht="36" customHeight="1" thickBot="1" x14ac:dyDescent="0.25">
      <c r="A32" s="29"/>
      <c r="B32" s="30" t="str">
        <f>'Control Entry'!N37</f>
        <v/>
      </c>
      <c r="C32" s="30" t="str">
        <f>'Control Entry'!O37</f>
        <v/>
      </c>
      <c r="D32" s="31"/>
      <c r="E32" s="32" t="str">
        <f>IF(ISBLANK('Control Entry'!H37),"",'Control Entry'!H37)</f>
        <v/>
      </c>
      <c r="F32" s="90" t="str">
        <f>IF(ISBLANK('Control Entry'!K37),"",'Control Entry'!K37)</f>
        <v/>
      </c>
      <c r="G32" s="89"/>
      <c r="H32" s="24" t="s">
        <v>29</v>
      </c>
      <c r="M32" s="129" t="s">
        <v>82</v>
      </c>
      <c r="N32" s="130"/>
      <c r="O32" s="130"/>
      <c r="P32" s="131"/>
      <c r="Q32" s="132" t="d">
        <f>'Control Entry'!B3</f>
        <v>2022-11-09</v>
      </c>
      <c r="R32" s="133"/>
      <c r="S32" s="133"/>
      <c r="T32" s="134"/>
    </row>
    <row r="33" spans="1:22" ht="36" customHeight="1" x14ac:dyDescent="0.2">
      <c r="A33" s="124" t="s">
        <v>43</v>
      </c>
      <c r="B33" s="124"/>
      <c r="C33" s="124"/>
      <c r="D33" s="124"/>
      <c r="E33" s="124"/>
      <c r="F33" s="124"/>
      <c r="G33" s="124"/>
      <c r="H33" s="37"/>
      <c r="I33" s="37"/>
      <c r="M33" s="138" t="s">
        <v>86</v>
      </c>
      <c r="N33" s="139"/>
      <c r="O33" s="139"/>
      <c r="P33" s="139"/>
      <c r="Q33" s="140" t="d">
        <f>'Control Entry'!B4</f>
        <v>2023-05-27</v>
      </c>
      <c r="R33" s="127"/>
      <c r="S33" s="127"/>
      <c r="T33" s="127"/>
      <c r="V33" s="44"/>
    </row>
    <row r="34" spans="1:22" ht="36" customHeight="1" x14ac:dyDescent="0.2">
      <c r="A34"/>
      <c r="O34" s="15"/>
      <c r="P34" s="15"/>
      <c r="Q34" s="15"/>
      <c r="R34" s="42"/>
    </row>
    <row r="35" spans="1:22" ht="36" customHeight="1" x14ac:dyDescent="0.2">
      <c r="A35"/>
      <c r="N35" s="137"/>
      <c r="O35" s="137"/>
      <c r="P35" s="137"/>
      <c r="Q35" s="137"/>
      <c r="R35" s="137"/>
      <c r="S35" s="137"/>
      <c r="T35" s="137"/>
      <c r="U35" s="137"/>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DiqJ+JOYBhoyZ1m99XU4D8NDihYKDATVeEm7KPe0KaI0+RIl/s0HliAQDBep4bratR5dvcZSaZLG/PV3ddwAYA==" saltValue="BtrAYkICphSvoTgltO5kCQ==" spinCount="100000" sheet="1" objects="1" scenarios="1" formatCells="0" selectLockedCells="1"/>
  <mergeCells count="42">
    <mergeCell ref="M32:P32"/>
    <mergeCell ref="Q32:T32"/>
    <mergeCell ref="A33:G33"/>
    <mergeCell ref="N35:U35"/>
    <mergeCell ref="L8:Q8"/>
    <mergeCell ref="M29:T29"/>
    <mergeCell ref="L15:U15"/>
    <mergeCell ref="S20:U20"/>
    <mergeCell ref="J25:N25"/>
    <mergeCell ref="P25:Q25"/>
    <mergeCell ref="S25:T25"/>
    <mergeCell ref="U25:V25"/>
    <mergeCell ref="K27:L27"/>
    <mergeCell ref="N27:O27"/>
    <mergeCell ref="P27:Q27"/>
    <mergeCell ref="S27:T27"/>
    <mergeCell ref="U27:V27"/>
    <mergeCell ref="M33:P33"/>
    <mergeCell ref="J24:N24"/>
    <mergeCell ref="A1:G1"/>
    <mergeCell ref="K2:U2"/>
    <mergeCell ref="M4:T4"/>
    <mergeCell ref="N5:O5"/>
    <mergeCell ref="R5:U5"/>
    <mergeCell ref="O3:R3"/>
    <mergeCell ref="S24:U24"/>
    <mergeCell ref="Q33:T33"/>
    <mergeCell ref="L20:N20"/>
    <mergeCell ref="L6:U6"/>
    <mergeCell ref="T8:U8"/>
    <mergeCell ref="L9:U9"/>
    <mergeCell ref="L10:U10"/>
    <mergeCell ref="L16:U16"/>
    <mergeCell ref="L22:N22"/>
    <mergeCell ref="S22:U22"/>
    <mergeCell ref="L11:N11"/>
    <mergeCell ref="S11:U11"/>
    <mergeCell ref="L12:N12"/>
    <mergeCell ref="S12:U12"/>
    <mergeCell ref="L13:N13"/>
    <mergeCell ref="R13:U13"/>
    <mergeCell ref="J21:U21"/>
  </mergeCells>
  <phoneticPr fontId="16" type="noConversion"/>
  <conditionalFormatting sqref="J22:N22">
    <cfRule type="expression" dxfId="14" priority="2">
      <formula>$S$3="#2"</formula>
    </cfRule>
  </conditionalFormatting>
  <conditionalFormatting sqref="J21:U21">
    <cfRule type="expression" dxfId="13" priority="1">
      <formula>$S$3&lt;&gt;"#2"</formula>
    </cfRule>
  </conditionalFormatting>
  <conditionalFormatting sqref="K27:V27">
    <cfRule type="expression" dxfId="12" priority="3">
      <formula>$S$3="#2"</formula>
    </cfRule>
  </conditionalFormatting>
  <conditionalFormatting sqref="P22:U24">
    <cfRule type="expression" dxfId="11" priority="4">
      <formula>$S$3="#2"</formula>
    </cfRule>
  </conditionalFormatting>
  <printOptions horizontalCentered="1" verticalCentered="1"/>
  <pageMargins left="0.2" right="0.2" top="0.2" bottom="0.2" header="0.51" footer="0.51"/>
  <pageSetup scale="45" orientation="landscape" horizontalDpi="4294967292" verticalDpi="4294967292"/>
  <drawing r:id="rId1"/>
  <extLst>
    <ext xmlns="http://schemas.openxmlformats.org/spreadsheetml/2006/main" xmlns:mx="http://schemas.microsoft.com/office/mac/excel/2008/main" uri="{64002731-A6B0-56B0-2670-7721B7C09600}">
      <mx:PLV Mode="0" OnePage="0" WScale="100"/>
    </ext>
  </extLs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4409A-CD2B-D847-B15D-2D9B75969139}">
  <sheetPr>
    <pageSetUpPr fitToPage="1"/>
  </sheetPr>
  <dimension ref="A1:V40"/>
  <sheetViews>
    <sheetView showGridLines="0" zoomScale="92" zoomScaleNormal="92" zoomScalePageLayoutView="92" workbookViewId="0">
      <selection activeCell="F3" sqref="F3"/>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customWidth="1"/>
    <col min="9" max="9" width="12" customWidth="1"/>
    <col min="12" max="14" width="9" customWidth="1"/>
    <col min="18" max="18" width="8.83203125" customWidth="1"/>
    <col min="19" max="19" width="9" customWidth="1"/>
  </cols>
  <sheetData>
    <row r="1" spans="1:22" ht="21" thickBot="1" x14ac:dyDescent="0.2">
      <c r="A1" s="123" t="s">
        <v>74</v>
      </c>
      <c r="B1" s="123"/>
      <c r="C1" s="123"/>
      <c r="D1" s="123"/>
      <c r="E1" s="123"/>
      <c r="F1" s="123"/>
      <c r="G1" s="123"/>
      <c r="H1" s="24" t="s">
        <v>29</v>
      </c>
    </row>
    <row r="2" spans="1:22" ht="33.75" customHeight="1" thickBot="1" x14ac:dyDescent="0.25">
      <c r="A2" s="65" t="s">
        <v>30</v>
      </c>
      <c r="B2" s="9" t="s">
        <v>3</v>
      </c>
      <c r="C2" s="9" t="s">
        <v>4</v>
      </c>
      <c r="D2" s="9" t="s">
        <v>25</v>
      </c>
      <c r="E2" s="9" t="s">
        <v>31</v>
      </c>
      <c r="F2" s="9" t="s">
        <v>59</v>
      </c>
      <c r="G2" s="65" t="s">
        <v>32</v>
      </c>
      <c r="H2" s="24" t="s">
        <v>29</v>
      </c>
      <c r="K2" s="127" t="s">
        <v>55</v>
      </c>
      <c r="L2" s="127"/>
      <c r="M2" s="127"/>
      <c r="N2" s="127"/>
      <c r="O2" s="127"/>
      <c r="P2" s="127"/>
      <c r="Q2" s="127"/>
      <c r="R2" s="127"/>
      <c r="S2" s="127"/>
      <c r="T2" s="127"/>
      <c r="U2" s="127"/>
    </row>
    <row r="3" spans="1:22" ht="36" customHeight="1" x14ac:dyDescent="0.45">
      <c r="A3" s="25"/>
      <c r="B3" s="26" t="str">
        <f>'Control Entry'!N41</f>
        <v/>
      </c>
      <c r="C3" s="26" t="str">
        <f>'Control Entry'!O41</f>
        <v/>
      </c>
      <c r="D3" s="27"/>
      <c r="E3" s="28" t="str">
        <f>IF(ISBLANK('Control Entry'!F41),"",'Control Entry'!F41)</f>
        <v/>
      </c>
      <c r="F3" s="85" t="str">
        <f>IF(ISBLANK('Control Entry'!I41),"",'Control Entry'!I41)</f>
        <v/>
      </c>
      <c r="G3" s="86"/>
      <c r="H3" s="24" t="s">
        <v>29</v>
      </c>
      <c r="K3" s="14"/>
      <c r="O3" s="112" t="s">
        <v>73</v>
      </c>
      <c r="P3" s="112"/>
      <c r="Q3" s="112"/>
      <c r="R3" s="112"/>
      <c r="S3" s="75" t="str">
        <f>IF('Control Entry'!D41&lt;&gt;0,"#3",IF(AND('Control Entry'!D41=0,'Control Entry'!D54&lt;&gt;0),"#1",""))</f>
        <v/>
      </c>
      <c r="T3" s="76"/>
      <c r="U3" s="38"/>
    </row>
    <row r="4" spans="1:22" ht="36" customHeight="1" x14ac:dyDescent="0.2">
      <c r="A4" s="34" t="str">
        <f>IF(ISBLANK('Control Entry'!D41),"",'Control Entry'!D41)</f>
        <v/>
      </c>
      <c r="B4" s="35" t="str">
        <f>'Control Entry'!N41</f>
        <v/>
      </c>
      <c r="C4" s="35" t="str">
        <f>'Control Entry'!O41</f>
        <v/>
      </c>
      <c r="D4" s="36" t="str">
        <f>IF(ISBLANK('Control Entry'!E41),"",'Control Entry'!E41)</f>
        <v/>
      </c>
      <c r="E4" s="28" t="str">
        <f>IF(ISBLANK('Control Entry'!G41),"",'Control Entry'!G41)</f>
        <v/>
      </c>
      <c r="F4" s="85" t="str">
        <f>IF(ISBLANK('Control Entry'!J41),"",'Control Entry'!J41)</f>
        <v/>
      </c>
      <c r="G4" s="86"/>
      <c r="H4" s="24" t="s">
        <v>29</v>
      </c>
      <c r="K4" s="14"/>
      <c r="M4" s="109" t="str">
        <f>IF(ISBLANK(brevet),"",brevet&amp;" km Randonnée")</f>
        <v>600 km Randonnée</v>
      </c>
      <c r="N4" s="109"/>
      <c r="O4" s="109"/>
      <c r="P4" s="109"/>
      <c r="Q4" s="109"/>
      <c r="R4" s="109"/>
      <c r="S4" s="109"/>
      <c r="T4" s="109"/>
      <c r="U4" s="39"/>
    </row>
    <row r="5" spans="1:22" ht="36" customHeight="1" thickBot="1" x14ac:dyDescent="0.25">
      <c r="A5" s="29"/>
      <c r="B5" s="30" t="str">
        <f>'Control Entry'!N41</f>
        <v/>
      </c>
      <c r="C5" s="30" t="str">
        <f>'Control Entry'!O41</f>
        <v/>
      </c>
      <c r="D5" s="31"/>
      <c r="E5" s="32" t="str">
        <f>IF(ISBLANK('Control Entry'!H41),"",'Control Entry'!H41)</f>
        <v/>
      </c>
      <c r="F5" s="90" t="str">
        <f>IF(ISBLANK('Control Entry'!K41),"",'Control Entry'!K41)</f>
        <v/>
      </c>
      <c r="G5" s="89"/>
      <c r="H5" s="24" t="s">
        <v>29</v>
      </c>
      <c r="K5" s="14"/>
      <c r="M5" s="15"/>
      <c r="N5" s="108" t="s">
        <v>47</v>
      </c>
      <c r="O5" s="108"/>
      <c r="P5" s="52" t="str">
        <f>IF(ISBLANK(Brevet_Number),"",Brevet_Number)</f>
        <v>Perm 235</v>
      </c>
      <c r="Q5" s="53"/>
      <c r="R5" s="126" t="d">
        <f>IF(ISBLANK('Control Entry'!$B10),"",'Control Entry'!$B10)</f>
        <v>2023-05-25</v>
      </c>
      <c r="S5" s="126"/>
      <c r="T5" s="126"/>
      <c r="U5" s="126"/>
      <c r="V5" s="40"/>
    </row>
    <row r="6" spans="1:22" ht="36" customHeight="1" x14ac:dyDescent="0.2">
      <c r="A6" s="25"/>
      <c r="B6" s="26" t="str">
        <f>'Control Entry'!N42</f>
        <v/>
      </c>
      <c r="C6" s="26" t="str">
        <f>'Control Entry'!O42</f>
        <v/>
      </c>
      <c r="D6" s="33"/>
      <c r="E6" s="28" t="str">
        <f>IF(ISBLANK('Control Entry'!F42),"",'Control Entry'!F42)</f>
        <v/>
      </c>
      <c r="F6" s="85" t="str">
        <f>IF(ISBLANK('Control Entry'!I42),"",'Control Entry'!I42)</f>
        <v/>
      </c>
      <c r="G6" s="86"/>
      <c r="H6" s="24" t="s">
        <v>29</v>
      </c>
      <c r="K6" s="14"/>
      <c r="L6" s="115" t="str">
        <f>IF(ISBLANK(Brevet_Description),"",Brevet_Description)</f>
        <v>Permanent: 5-Ferries 600</v>
      </c>
      <c r="M6" s="115"/>
      <c r="N6" s="115"/>
      <c r="O6" s="115"/>
      <c r="P6" s="115"/>
      <c r="Q6" s="115"/>
      <c r="R6" s="115"/>
      <c r="S6" s="115"/>
      <c r="T6" s="115"/>
      <c r="U6" s="115"/>
    </row>
    <row r="7" spans="1:22" ht="36" customHeight="1" x14ac:dyDescent="0.2">
      <c r="A7" s="34" t="str">
        <f>IF(ISBLANK('Control Entry'!D42),"",'Control Entry'!D42)</f>
        <v/>
      </c>
      <c r="B7" s="35" t="str">
        <f>'Control Entry'!N42</f>
        <v/>
      </c>
      <c r="C7" s="35" t="str">
        <f>'Control Entry'!O42</f>
        <v/>
      </c>
      <c r="D7" s="36" t="str">
        <f>IF(ISBLANK('Control Entry'!E42),"",'Control Entry'!E42)</f>
        <v/>
      </c>
      <c r="E7" s="28" t="str">
        <f>IF(ISBLANK('Control Entry'!G42),"",'Control Entry'!G42)</f>
        <v/>
      </c>
      <c r="F7" s="85" t="str">
        <f>IF(ISBLANK('Control Entry'!J42),"",'Control Entry'!J42)</f>
        <v/>
      </c>
      <c r="G7" s="86"/>
      <c r="H7" s="24" t="s">
        <v>29</v>
      </c>
    </row>
    <row r="8" spans="1:22" ht="36" customHeight="1" thickBot="1" x14ac:dyDescent="0.25">
      <c r="A8" s="29"/>
      <c r="B8" s="30" t="str">
        <f>'Control Entry'!N42</f>
        <v/>
      </c>
      <c r="C8" s="30" t="str">
        <f>'Control Entry'!O42</f>
        <v/>
      </c>
      <c r="D8" s="31"/>
      <c r="E8" s="32" t="str">
        <f>IF(ISBLANK('Control Entry'!H42),"",'Control Entry'!H42)</f>
        <v/>
      </c>
      <c r="F8" s="90" t="str">
        <f>IF(ISBLANK('Control Entry'!K42),"",'Control Entry'!K42)</f>
        <v/>
      </c>
      <c r="G8" s="89"/>
      <c r="H8" s="24" t="s">
        <v>29</v>
      </c>
      <c r="J8" s="15" t="s">
        <v>34</v>
      </c>
      <c r="L8" s="128"/>
      <c r="M8" s="128"/>
      <c r="N8" s="128"/>
      <c r="O8" s="128"/>
      <c r="P8" s="128"/>
      <c r="Q8" s="128"/>
      <c r="S8" s="41" t="s">
        <v>46</v>
      </c>
      <c r="T8" s="135"/>
      <c r="U8" s="135"/>
    </row>
    <row r="9" spans="1:22" ht="36" customHeight="1" thickBot="1" x14ac:dyDescent="0.3">
      <c r="A9" s="25"/>
      <c r="B9" s="26" t="str">
        <f>'Control Entry'!N43</f>
        <v/>
      </c>
      <c r="C9" s="26" t="str">
        <f>'Control Entry'!O43</f>
        <v/>
      </c>
      <c r="D9" s="33"/>
      <c r="E9" s="28" t="str">
        <f>IF(ISBLANK('Control Entry'!F43),"",'Control Entry'!F43)</f>
        <v/>
      </c>
      <c r="F9" s="85" t="str">
        <f>IF(ISBLANK('Control Entry'!I43),"",'Control Entry'!I43)</f>
        <v/>
      </c>
      <c r="G9" s="86"/>
      <c r="H9" s="24" t="s">
        <v>29</v>
      </c>
      <c r="J9" s="15" t="s">
        <v>35</v>
      </c>
      <c r="K9" s="15"/>
      <c r="L9" s="117" t="s">
        <v>54</v>
      </c>
      <c r="M9" s="117"/>
      <c r="N9" s="117"/>
      <c r="O9" s="117"/>
      <c r="P9" s="117"/>
      <c r="Q9" s="117"/>
      <c r="R9" s="117"/>
      <c r="S9" s="117"/>
      <c r="T9" s="117"/>
      <c r="U9" s="117"/>
    </row>
    <row r="10" spans="1:22" ht="36" customHeight="1" thickBot="1" x14ac:dyDescent="0.3">
      <c r="A10" s="34" t="str">
        <f>IF(ISBLANK('Control Entry'!D43),"",'Control Entry'!D43)</f>
        <v/>
      </c>
      <c r="B10" s="35" t="str">
        <f>'Control Entry'!N43</f>
        <v/>
      </c>
      <c r="C10" s="35" t="str">
        <f>'Control Entry'!O43</f>
        <v/>
      </c>
      <c r="D10" s="36" t="str">
        <f>IF(ISBLANK('Control Entry'!E43),"",'Control Entry'!E43)</f>
        <v/>
      </c>
      <c r="E10" s="28" t="str">
        <f>IF(ISBLANK('Control Entry'!G43),"",'Control Entry'!G43)</f>
        <v/>
      </c>
      <c r="F10" s="85" t="str">
        <f>IF(ISBLANK('Control Entry'!J43),"",'Control Entry'!J43)</f>
        <v/>
      </c>
      <c r="G10" s="86"/>
      <c r="H10" s="24" t="s">
        <v>29</v>
      </c>
      <c r="J10" s="15"/>
      <c r="K10" s="15"/>
      <c r="L10" s="118"/>
      <c r="M10" s="118"/>
      <c r="N10" s="118"/>
      <c r="O10" s="118"/>
      <c r="P10" s="118"/>
      <c r="Q10" s="118"/>
      <c r="R10" s="118"/>
      <c r="S10" s="118"/>
      <c r="T10" s="118"/>
      <c r="U10" s="118"/>
    </row>
    <row r="11" spans="1:22" ht="36" customHeight="1" thickBot="1" x14ac:dyDescent="0.3">
      <c r="A11" s="29"/>
      <c r="B11" s="30" t="str">
        <f>'Control Entry'!N43</f>
        <v/>
      </c>
      <c r="C11" s="30" t="str">
        <f>'Control Entry'!O43</f>
        <v/>
      </c>
      <c r="D11" s="31"/>
      <c r="E11" s="32" t="str">
        <f>IF(ISBLANK('Control Entry'!H43),"",'Control Entry'!H43)</f>
        <v/>
      </c>
      <c r="F11" s="90" t="str">
        <f>IF(ISBLANK('Control Entry'!K43),"",'Control Entry'!K43)</f>
        <v/>
      </c>
      <c r="G11" s="89"/>
      <c r="H11" s="24" t="s">
        <v>29</v>
      </c>
      <c r="J11" s="15" t="s">
        <v>36</v>
      </c>
      <c r="K11" s="15"/>
      <c r="L11" s="118"/>
      <c r="M11" s="118"/>
      <c r="N11" s="118"/>
      <c r="O11" s="15"/>
      <c r="P11" s="15" t="s">
        <v>37</v>
      </c>
      <c r="Q11" s="15"/>
      <c r="R11" s="15"/>
      <c r="S11" s="122"/>
      <c r="T11" s="122"/>
      <c r="U11" s="122"/>
    </row>
    <row r="12" spans="1:22" ht="36" customHeight="1" thickBot="1" x14ac:dyDescent="0.3">
      <c r="A12" s="25"/>
      <c r="B12" s="26" t="str">
        <f>'Control Entry'!N44</f>
        <v/>
      </c>
      <c r="C12" s="26" t="str">
        <f>'Control Entry'!O44</f>
        <v/>
      </c>
      <c r="D12" s="33"/>
      <c r="E12" s="28" t="str">
        <f>IF(ISBLANK('Control Entry'!F44),"",'Control Entry'!F44)</f>
        <v/>
      </c>
      <c r="F12" s="85" t="str">
        <f>IF(ISBLANK('Control Entry'!I44),"",'Control Entry'!I44)</f>
        <v/>
      </c>
      <c r="G12" s="86"/>
      <c r="H12" s="24" t="s">
        <v>29</v>
      </c>
      <c r="J12" s="15" t="s">
        <v>38</v>
      </c>
      <c r="K12" s="15"/>
      <c r="L12" s="118"/>
      <c r="M12" s="118"/>
      <c r="N12" s="118"/>
      <c r="O12" s="15"/>
      <c r="P12" s="15" t="s">
        <v>39</v>
      </c>
      <c r="Q12" s="15"/>
      <c r="R12" s="15"/>
      <c r="S12" s="122"/>
      <c r="T12" s="122"/>
      <c r="U12" s="122"/>
    </row>
    <row r="13" spans="1:22" ht="36" customHeight="1" thickBot="1" x14ac:dyDescent="0.3">
      <c r="A13" s="34" t="str">
        <f>IF(ISBLANK('Control Entry'!D44),"",'Control Entry'!D44)</f>
        <v/>
      </c>
      <c r="B13" s="35" t="str">
        <f>'Control Entry'!N44</f>
        <v/>
      </c>
      <c r="C13" s="35" t="str">
        <f>'Control Entry'!O44</f>
        <v/>
      </c>
      <c r="D13" s="36" t="str">
        <f>IF(ISBLANK('Control Entry'!E44),"",'Control Entry'!E44)</f>
        <v/>
      </c>
      <c r="E13" s="28" t="str">
        <f>IF(ISBLANK('Control Entry'!G44),"",'Control Entry'!G44)</f>
        <v/>
      </c>
      <c r="F13" s="85" t="str">
        <f>IF(ISBLANK('Control Entry'!J44),"",'Control Entry'!J44)</f>
        <v/>
      </c>
      <c r="G13" s="86"/>
      <c r="H13" s="24" t="s">
        <v>29</v>
      </c>
      <c r="J13" s="15" t="s">
        <v>40</v>
      </c>
      <c r="L13" s="121"/>
      <c r="M13" s="121"/>
      <c r="N13" s="121"/>
      <c r="P13" s="15" t="s">
        <v>41</v>
      </c>
      <c r="Q13" s="15"/>
      <c r="R13" s="125"/>
      <c r="S13" s="125"/>
      <c r="T13" s="125"/>
      <c r="U13" s="125"/>
    </row>
    <row r="14" spans="1:22" ht="36" customHeight="1" thickBot="1" x14ac:dyDescent="0.25">
      <c r="A14" s="29"/>
      <c r="B14" s="30" t="str">
        <f>'Control Entry'!N44</f>
        <v/>
      </c>
      <c r="C14" s="30" t="str">
        <f>'Control Entry'!O44</f>
        <v/>
      </c>
      <c r="D14" s="31"/>
      <c r="E14" s="32" t="str">
        <f>IF(ISBLANK('Control Entry'!H44),"",'Control Entry'!H44)</f>
        <v/>
      </c>
      <c r="F14" s="90" t="str">
        <f>IF(ISBLANK('Control Entry'!K44),"",'Control Entry'!K44)</f>
        <v/>
      </c>
      <c r="G14" s="89"/>
      <c r="H14" s="24" t="s">
        <v>29</v>
      </c>
    </row>
    <row r="15" spans="1:22" ht="36" customHeight="1" x14ac:dyDescent="0.2">
      <c r="A15" s="25"/>
      <c r="B15" s="26" t="str">
        <f>'Control Entry'!N45</f>
        <v/>
      </c>
      <c r="C15" s="26" t="str">
        <f>'Control Entry'!O45</f>
        <v/>
      </c>
      <c r="D15" s="33"/>
      <c r="E15" s="28" t="str">
        <f>IF(ISBLANK('Control Entry'!F45),"",'Control Entry'!F45)</f>
        <v/>
      </c>
      <c r="F15" s="85" t="str">
        <f>IF(ISBLANK('Control Entry'!I45),"",'Control Entry'!I45)</f>
        <v/>
      </c>
      <c r="G15" s="86"/>
      <c r="H15" s="24" t="s">
        <v>29</v>
      </c>
      <c r="J15" s="15"/>
      <c r="L15" s="114" t="s">
        <v>58</v>
      </c>
      <c r="M15" s="114"/>
      <c r="N15" s="114"/>
      <c r="O15" s="114"/>
      <c r="P15" s="114"/>
      <c r="Q15" s="114"/>
      <c r="R15" s="114"/>
      <c r="S15" s="114"/>
      <c r="T15" s="114"/>
      <c r="U15" s="114"/>
    </row>
    <row r="16" spans="1:22" ht="36" customHeight="1" thickBot="1" x14ac:dyDescent="0.25">
      <c r="A16" s="34" t="str">
        <f>IF(ISBLANK('Control Entry'!D45),"",'Control Entry'!D45)</f>
        <v/>
      </c>
      <c r="B16" s="35" t="str">
        <f>'Control Entry'!N45</f>
        <v/>
      </c>
      <c r="C16" s="35" t="str">
        <f>'Control Entry'!O45</f>
        <v/>
      </c>
      <c r="D16" s="36" t="str">
        <f>IF(ISBLANK('Control Entry'!E45),"",'Control Entry'!E45)</f>
        <v/>
      </c>
      <c r="E16" s="28" t="str">
        <f>IF(ISBLANK('Control Entry'!G45),"",'Control Entry'!G45)</f>
        <v/>
      </c>
      <c r="F16" s="85" t="str">
        <f>IF(ISBLANK('Control Entry'!J45),"",'Control Entry'!J45)</f>
        <v/>
      </c>
      <c r="G16" s="86"/>
      <c r="H16" s="24" t="s">
        <v>29</v>
      </c>
      <c r="L16" s="142"/>
      <c r="M16" s="142"/>
      <c r="N16" s="142"/>
      <c r="O16" s="142"/>
      <c r="P16" s="142"/>
      <c r="Q16" s="142"/>
      <c r="R16" s="142"/>
      <c r="S16" s="142"/>
      <c r="T16" s="142"/>
      <c r="U16" s="142"/>
    </row>
    <row r="17" spans="1:22" ht="36" customHeight="1" thickBot="1" x14ac:dyDescent="0.25">
      <c r="A17" s="29"/>
      <c r="B17" s="30" t="str">
        <f>'Control Entry'!N45</f>
        <v/>
      </c>
      <c r="C17" s="30" t="str">
        <f>'Control Entry'!O45</f>
        <v/>
      </c>
      <c r="D17" s="31"/>
      <c r="E17" s="32" t="str">
        <f>IF(ISBLANK('Control Entry'!H45),"",'Control Entry'!H45)</f>
        <v/>
      </c>
      <c r="F17" s="90" t="str">
        <f>IF(ISBLANK('Control Entry'!K45),"",'Control Entry'!K45)</f>
        <v/>
      </c>
      <c r="G17" s="89"/>
      <c r="H17" s="24" t="s">
        <v>29</v>
      </c>
    </row>
    <row r="18" spans="1:22" ht="36" customHeight="1" x14ac:dyDescent="0.2">
      <c r="A18" s="25"/>
      <c r="B18" s="26" t="str">
        <f>'Control Entry'!N46</f>
        <v/>
      </c>
      <c r="C18" s="26" t="str">
        <f>'Control Entry'!O46</f>
        <v/>
      </c>
      <c r="D18" s="33"/>
      <c r="E18" s="28" t="str">
        <f>IF(ISBLANK('Control Entry'!F46),"",'Control Entry'!F46)</f>
        <v/>
      </c>
      <c r="F18" s="85" t="str">
        <f>IF(ISBLANK('Control Entry'!I46),"",'Control Entry'!I46)</f>
        <v/>
      </c>
      <c r="G18" s="86"/>
      <c r="H18" s="24" t="s">
        <v>29</v>
      </c>
    </row>
    <row r="19" spans="1:22" ht="36" customHeight="1" x14ac:dyDescent="0.2">
      <c r="A19" s="34" t="str">
        <f>IF(ISBLANK('Control Entry'!D46),"",'Control Entry'!D46)</f>
        <v/>
      </c>
      <c r="B19" s="35" t="str">
        <f>'Control Entry'!N46</f>
        <v/>
      </c>
      <c r="C19" s="35" t="str">
        <f>'Control Entry'!O46</f>
        <v/>
      </c>
      <c r="D19" s="36" t="str">
        <f>IF(ISBLANK('Control Entry'!E46),"",'Control Entry'!E46)</f>
        <v/>
      </c>
      <c r="E19" s="28" t="str">
        <f>IF(ISBLANK('Control Entry'!G46),"",'Control Entry'!G46)</f>
        <v/>
      </c>
      <c r="F19" s="85" t="str">
        <f>IF(ISBLANK('Control Entry'!J46),"",'Control Entry'!J46)</f>
        <v/>
      </c>
      <c r="G19" s="86"/>
      <c r="H19" s="24" t="s">
        <v>29</v>
      </c>
    </row>
    <row r="20" spans="1:22" ht="36" customHeight="1" thickBot="1" x14ac:dyDescent="0.25">
      <c r="A20" s="29"/>
      <c r="B20" s="30" t="str">
        <f>'Control Entry'!N46</f>
        <v/>
      </c>
      <c r="C20" s="30" t="str">
        <f>'Control Entry'!O46</f>
        <v/>
      </c>
      <c r="D20" s="31"/>
      <c r="E20" s="32" t="str">
        <f>IF(ISBLANK('Control Entry'!H46),"",'Control Entry'!H46)</f>
        <v/>
      </c>
      <c r="F20" s="90" t="str">
        <f>IF(ISBLANK('Control Entry'!K46),"",'Control Entry'!K46)</f>
        <v/>
      </c>
      <c r="G20" s="89"/>
      <c r="H20" s="24" t="s">
        <v>29</v>
      </c>
      <c r="J20" s="50" t="s">
        <v>44</v>
      </c>
      <c r="K20" s="50"/>
      <c r="L20" s="136" t="d">
        <f>IF(ISBLANK('Control Entry'!B12),"",'Control Entry'!B12)</f>
        <v>2023-05-25</v>
      </c>
      <c r="M20" s="136"/>
      <c r="N20" s="136"/>
      <c r="P20" s="15" t="s">
        <v>0</v>
      </c>
      <c r="Q20" s="15"/>
      <c r="S20" s="113" t="d">
        <f>IF(ISBLANK('Control Entry'!B13),"",'Control Entry'!B13)</f>
        <v>14:00:00.0000000000031950</v>
      </c>
      <c r="T20" s="113"/>
      <c r="U20" s="113"/>
    </row>
    <row r="21" spans="1:22" ht="36" customHeight="1" x14ac:dyDescent="0.2">
      <c r="A21" s="25"/>
      <c r="B21" s="26" t="str">
        <f>'Control Entry'!N47</f>
        <v/>
      </c>
      <c r="C21" s="26" t="str">
        <f>'Control Entry'!O47</f>
        <v/>
      </c>
      <c r="D21" s="33"/>
      <c r="E21" s="28" t="str">
        <f>IF(ISBLANK('Control Entry'!F47),"",'Control Entry'!F47)</f>
        <v/>
      </c>
      <c r="F21" s="85" t="str">
        <f>IF(ISBLANK('Control Entry'!I47),"",'Control Entry'!I47)</f>
        <v/>
      </c>
      <c r="G21" s="86"/>
      <c r="H21" s="24" t="s">
        <v>29</v>
      </c>
      <c r="J21" s="115" t="s">
        <v>90</v>
      </c>
      <c r="K21" s="115"/>
      <c r="L21" s="115"/>
      <c r="M21" s="115"/>
      <c r="N21" s="115"/>
      <c r="O21" s="115"/>
      <c r="P21" s="115"/>
      <c r="Q21" s="115"/>
      <c r="R21" s="115"/>
      <c r="S21" s="115"/>
      <c r="T21" s="115"/>
      <c r="U21" s="115"/>
    </row>
    <row r="22" spans="1:22" ht="36" customHeight="1" thickBot="1" x14ac:dyDescent="0.25">
      <c r="A22" s="34" t="str">
        <f>IF(ISBLANK('Control Entry'!D47),"",'Control Entry'!D47)</f>
        <v/>
      </c>
      <c r="B22" s="35" t="str">
        <f>'Control Entry'!N47</f>
        <v/>
      </c>
      <c r="C22" s="35" t="str">
        <f>'Control Entry'!O47</f>
        <v/>
      </c>
      <c r="D22" s="36" t="str">
        <f>IF(ISBLANK('Control Entry'!E47),"",'Control Entry'!E47)</f>
        <v/>
      </c>
      <c r="E22" s="28" t="str">
        <f>IF(ISBLANK('Control Entry'!G47),"",'Control Entry'!G47)</f>
        <v/>
      </c>
      <c r="F22" s="85" t="str">
        <f>IF(ISBLANK('Control Entry'!J47),"",'Control Entry'!J47)</f>
        <v/>
      </c>
      <c r="G22" s="86"/>
      <c r="H22" s="24" t="s">
        <v>29</v>
      </c>
      <c r="J22" s="50" t="s">
        <v>45</v>
      </c>
      <c r="K22" s="50"/>
      <c r="L22" s="91"/>
      <c r="M22" s="91"/>
      <c r="N22" s="91"/>
      <c r="P22" s="15" t="s">
        <v>1</v>
      </c>
      <c r="Q22" s="15"/>
      <c r="S22" s="116"/>
      <c r="T22" s="116"/>
      <c r="U22" s="116"/>
    </row>
    <row r="23" spans="1:22" ht="36" customHeight="1" thickBot="1" x14ac:dyDescent="0.25">
      <c r="A23" s="29"/>
      <c r="B23" s="30" t="str">
        <f>'Control Entry'!N47</f>
        <v/>
      </c>
      <c r="C23" s="30" t="str">
        <f>'Control Entry'!O47</f>
        <v/>
      </c>
      <c r="D23" s="31"/>
      <c r="E23" s="32" t="str">
        <f>IF(ISBLANK('Control Entry'!H47),"",'Control Entry'!H47)</f>
        <v/>
      </c>
      <c r="F23" s="90" t="str">
        <f>IF(ISBLANK('Control Entry'!K47),"",'Control Entry'!K47)</f>
        <v/>
      </c>
      <c r="G23" s="89"/>
      <c r="H23" s="24" t="s">
        <v>29</v>
      </c>
      <c r="J23" s="50"/>
      <c r="K23" s="50"/>
      <c r="L23" s="44"/>
      <c r="M23" s="44"/>
      <c r="N23" s="44"/>
      <c r="P23" s="15"/>
      <c r="Q23" s="15"/>
    </row>
    <row r="24" spans="1:22" ht="36" customHeight="1" thickBot="1" x14ac:dyDescent="0.25">
      <c r="A24" s="25"/>
      <c r="B24" s="26" t="str">
        <f>'Control Entry'!N48</f>
        <v/>
      </c>
      <c r="C24" s="26" t="str">
        <f>'Control Entry'!O48</f>
        <v/>
      </c>
      <c r="D24" s="33"/>
      <c r="E24" s="28" t="str">
        <f>IF(ISBLANK('Control Entry'!F48),"",'Control Entry'!F48)</f>
        <v/>
      </c>
      <c r="F24" s="85" t="str">
        <f>IF(ISBLANK('Control Entry'!I48),"",'Control Entry'!I48)</f>
        <v/>
      </c>
      <c r="G24" s="86"/>
      <c r="H24" s="24" t="s">
        <v>29</v>
      </c>
      <c r="J24" s="116"/>
      <c r="K24" s="116"/>
      <c r="L24" s="116"/>
      <c r="M24" s="116"/>
      <c r="N24" s="116"/>
      <c r="P24" s="15" t="s">
        <v>2</v>
      </c>
      <c r="Q24" s="15"/>
      <c r="S24" s="116"/>
      <c r="T24" s="116"/>
      <c r="U24" s="116"/>
    </row>
    <row r="25" spans="1:22" ht="36" customHeight="1" x14ac:dyDescent="0.2">
      <c r="A25" s="34" t="str">
        <f>IF(ISBLANK('Control Entry'!D48),"",'Control Entry'!D48)</f>
        <v/>
      </c>
      <c r="B25" s="35" t="str">
        <f>'Control Entry'!N48</f>
        <v/>
      </c>
      <c r="C25" s="35" t="str">
        <f>'Control Entry'!O48</f>
        <v/>
      </c>
      <c r="D25" s="36" t="str">
        <f>IF(ISBLANK('Control Entry'!E48),"",'Control Entry'!E48)</f>
        <v/>
      </c>
      <c r="E25" s="28" t="str">
        <f>IF(ISBLANK('Control Entry'!G48),"",'Control Entry'!G48)</f>
        <v/>
      </c>
      <c r="F25" s="85" t="str">
        <f>IF(ISBLANK('Control Entry'!J48),"",'Control Entry'!J48)</f>
        <v/>
      </c>
      <c r="G25" s="86"/>
      <c r="H25" s="24" t="s">
        <v>29</v>
      </c>
      <c r="J25" s="111" t="s">
        <v>17</v>
      </c>
      <c r="K25" s="111"/>
      <c r="L25" s="111"/>
      <c r="M25" s="111"/>
      <c r="N25" s="111"/>
      <c r="O25" s="46"/>
      <c r="P25" s="110"/>
      <c r="Q25" s="110"/>
      <c r="R25" s="46"/>
      <c r="S25" s="108"/>
      <c r="T25" s="108"/>
      <c r="U25" s="108"/>
      <c r="V25" s="108"/>
    </row>
    <row r="26" spans="1:22" ht="36" customHeight="1" thickBot="1" x14ac:dyDescent="0.25">
      <c r="A26" s="29"/>
      <c r="B26" s="30" t="str">
        <f>'Control Entry'!N48</f>
        <v/>
      </c>
      <c r="C26" s="30" t="str">
        <f>'Control Entry'!O48</f>
        <v/>
      </c>
      <c r="D26" s="31"/>
      <c r="E26" s="32" t="str">
        <f>IF(ISBLANK('Control Entry'!H48),"",'Control Entry'!H48)</f>
        <v/>
      </c>
      <c r="F26" s="90" t="str">
        <f>IF(ISBLANK('Control Entry'!K48),"",'Control Entry'!K48)</f>
        <v/>
      </c>
      <c r="G26" s="89"/>
      <c r="H26" s="24" t="s">
        <v>29</v>
      </c>
    </row>
    <row r="27" spans="1:22" ht="36" customHeight="1" x14ac:dyDescent="0.2">
      <c r="A27" s="25"/>
      <c r="B27" s="26" t="str">
        <f>'Control Entry'!N49</f>
        <v/>
      </c>
      <c r="C27" s="26" t="str">
        <f>'Control Entry'!O49</f>
        <v/>
      </c>
      <c r="D27" s="33"/>
      <c r="E27" s="28" t="str">
        <f>IF(ISBLANK('Control Entry'!F49),"",'Control Entry'!F49)</f>
        <v/>
      </c>
      <c r="F27" s="85" t="str">
        <f>IF(ISBLANK('Control Entry'!I49),"",'Control Entry'!I49)</f>
        <v/>
      </c>
      <c r="G27" s="86"/>
      <c r="H27" s="24" t="s">
        <v>29</v>
      </c>
      <c r="K27" s="109" t="s">
        <v>56</v>
      </c>
      <c r="L27" s="110"/>
      <c r="M27" s="45" t="s">
        <v>57</v>
      </c>
      <c r="N27" s="110" t="s">
        <v>49</v>
      </c>
      <c r="O27" s="110"/>
      <c r="P27" s="110" t="s">
        <v>50</v>
      </c>
      <c r="Q27" s="110"/>
      <c r="R27" s="46" t="s">
        <v>51</v>
      </c>
      <c r="S27" s="108" t="s">
        <v>52</v>
      </c>
      <c r="T27" s="108"/>
      <c r="U27" s="108" t="s">
        <v>53</v>
      </c>
      <c r="V27" s="108"/>
    </row>
    <row r="28" spans="1:22" ht="36" customHeight="1" x14ac:dyDescent="0.2">
      <c r="A28" s="34" t="str">
        <f>IF(ISBLANK('Control Entry'!D49),"",'Control Entry'!D49)</f>
        <v/>
      </c>
      <c r="B28" s="35" t="str">
        <f>'Control Entry'!N49</f>
        <v/>
      </c>
      <c r="C28" s="35" t="str">
        <f>'Control Entry'!O49</f>
        <v/>
      </c>
      <c r="D28" s="36" t="str">
        <f>IF(ISBLANK('Control Entry'!E49),"",'Control Entry'!E49)</f>
        <v/>
      </c>
      <c r="E28" s="28" t="str">
        <f>IF(ISBLANK('Control Entry'!G49),"",'Control Entry'!G49)</f>
        <v/>
      </c>
      <c r="F28" s="85" t="str">
        <f>IF(ISBLANK('Control Entry'!J49),"",'Control Entry'!J49)</f>
        <v/>
      </c>
      <c r="G28" s="86"/>
      <c r="H28" s="24" t="s">
        <v>29</v>
      </c>
    </row>
    <row r="29" spans="1:22" ht="36" customHeight="1" thickBot="1" x14ac:dyDescent="0.25">
      <c r="A29" s="29"/>
      <c r="B29" s="30" t="str">
        <f>'Control Entry'!N49</f>
        <v/>
      </c>
      <c r="C29" s="30" t="str">
        <f>'Control Entry'!O49</f>
        <v/>
      </c>
      <c r="D29" s="31"/>
      <c r="E29" s="32" t="str">
        <f>IF(ISBLANK('Control Entry'!H49),"",'Control Entry'!H49)</f>
        <v/>
      </c>
      <c r="F29" s="90" t="str">
        <f>IF(ISBLANK('Control Entry'!K49),"",'Control Entry'!K49)</f>
        <v/>
      </c>
      <c r="G29" s="89"/>
      <c r="H29" s="24" t="s">
        <v>29</v>
      </c>
      <c r="M29" s="137" t="s">
        <v>42</v>
      </c>
      <c r="N29" s="137"/>
      <c r="O29" s="137"/>
      <c r="P29" s="137"/>
      <c r="Q29" s="137"/>
      <c r="R29" s="137"/>
      <c r="S29" s="137"/>
      <c r="T29" s="137"/>
      <c r="U29" s="49"/>
    </row>
    <row r="30" spans="1:22" ht="36" customHeight="1" x14ac:dyDescent="0.2">
      <c r="A30" s="25"/>
      <c r="B30" s="26" t="str">
        <f>'Control Entry'!N50</f>
        <v/>
      </c>
      <c r="C30" s="26" t="str">
        <f>'Control Entry'!O50</f>
        <v/>
      </c>
      <c r="D30" s="33"/>
      <c r="E30" s="28" t="str">
        <f>IF(ISBLANK('Control Entry'!F50),"",'Control Entry'!F50)</f>
        <v/>
      </c>
      <c r="F30" s="85" t="str">
        <f>IF(ISBLANK('Control Entry'!I50),"",'Control Entry'!I50)</f>
        <v/>
      </c>
      <c r="G30" s="86"/>
      <c r="H30" s="24" t="s">
        <v>29</v>
      </c>
      <c r="M30" s="16"/>
      <c r="N30" s="18"/>
      <c r="O30" s="18"/>
      <c r="P30" s="19"/>
      <c r="Q30" s="16"/>
      <c r="R30" s="18"/>
      <c r="S30" s="18"/>
      <c r="T30" s="19"/>
    </row>
    <row r="31" spans="1:22" ht="36" customHeight="1" x14ac:dyDescent="0.2">
      <c r="A31" s="34" t="str">
        <f>IF(ISBLANK('Control Entry'!D50),"",'Control Entry'!D50)</f>
        <v/>
      </c>
      <c r="B31" s="35" t="str">
        <f>'Control Entry'!N50</f>
        <v/>
      </c>
      <c r="C31" s="35" t="str">
        <f>'Control Entry'!O50</f>
        <v/>
      </c>
      <c r="D31" s="36" t="str">
        <f>IF(ISBLANK('Control Entry'!E50),"",'Control Entry'!E50)</f>
        <v/>
      </c>
      <c r="E31" s="28" t="str">
        <f>IF(ISBLANK('Control Entry'!G50),"",'Control Entry'!G50)</f>
        <v/>
      </c>
      <c r="F31" s="85" t="str">
        <f>IF(ISBLANK('Control Entry'!J50),"",'Control Entry'!J50)</f>
        <v/>
      </c>
      <c r="G31" s="86"/>
      <c r="H31" s="24" t="s">
        <v>29</v>
      </c>
      <c r="M31" s="17"/>
      <c r="P31" s="20"/>
      <c r="Q31" s="17"/>
      <c r="T31" s="20"/>
    </row>
    <row r="32" spans="1:22" ht="36" customHeight="1" thickBot="1" x14ac:dyDescent="0.25">
      <c r="A32" s="29"/>
      <c r="B32" s="30" t="str">
        <f>'Control Entry'!N50</f>
        <v/>
      </c>
      <c r="C32" s="30" t="str">
        <f>'Control Entry'!O50</f>
        <v/>
      </c>
      <c r="D32" s="31"/>
      <c r="E32" s="32" t="str">
        <f>IF(ISBLANK('Control Entry'!H50),"",'Control Entry'!H50)</f>
        <v/>
      </c>
      <c r="F32" s="90" t="str">
        <f>IF(ISBLANK('Control Entry'!K50),"",'Control Entry'!K50)</f>
        <v/>
      </c>
      <c r="G32" s="89"/>
      <c r="H32" s="24" t="s">
        <v>29</v>
      </c>
      <c r="M32" s="129" t="s">
        <v>82</v>
      </c>
      <c r="N32" s="130"/>
      <c r="O32" s="130"/>
      <c r="P32" s="131"/>
      <c r="Q32" s="132" t="d">
        <f>'Control Entry'!B3</f>
        <v>2022-11-09</v>
      </c>
      <c r="R32" s="133"/>
      <c r="S32" s="133"/>
      <c r="T32" s="134"/>
    </row>
    <row r="33" spans="1:22" ht="36" customHeight="1" x14ac:dyDescent="0.2">
      <c r="A33" s="124" t="s">
        <v>43</v>
      </c>
      <c r="B33" s="124"/>
      <c r="C33" s="124"/>
      <c r="D33" s="124"/>
      <c r="E33" s="124"/>
      <c r="F33" s="124"/>
      <c r="G33" s="124"/>
      <c r="H33" s="37"/>
      <c r="I33" s="37"/>
      <c r="M33" s="138" t="s">
        <v>86</v>
      </c>
      <c r="N33" s="139"/>
      <c r="O33" s="139"/>
      <c r="P33" s="139"/>
      <c r="Q33" s="140" t="d">
        <f>'Control Entry'!B4</f>
        <v>2023-05-27</v>
      </c>
      <c r="R33" s="127"/>
      <c r="S33" s="127"/>
      <c r="T33" s="127"/>
      <c r="U33" s="82"/>
      <c r="V33" s="44"/>
    </row>
    <row r="34" spans="1:22" ht="36" customHeight="1" x14ac:dyDescent="0.2">
      <c r="A34"/>
      <c r="O34" s="15"/>
      <c r="P34" s="15"/>
      <c r="Q34" s="15"/>
      <c r="R34" s="42"/>
    </row>
    <row r="35" spans="1:22" ht="36" customHeight="1" x14ac:dyDescent="0.2">
      <c r="A35"/>
      <c r="N35" s="137"/>
      <c r="O35" s="137"/>
      <c r="P35" s="137"/>
      <c r="Q35" s="137"/>
      <c r="R35" s="137"/>
      <c r="S35" s="137"/>
      <c r="T35" s="137"/>
      <c r="U35" s="137"/>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n04OlOPypxKiXZHfTF7SZ14P8gX/OWk/qktZJUCZqh+6Nv8BjLLr9UXJBNwuWtsY5jnC73Xiuu+JFtcLWZMoiA==" saltValue="FabpdyB7wrMR7nA5d9noMA==" spinCount="100000" sheet="1" objects="1" scenarios="1" formatCells="0" selectLockedCells="1"/>
  <mergeCells count="41">
    <mergeCell ref="Q32:T32"/>
    <mergeCell ref="A1:G1"/>
    <mergeCell ref="K2:U2"/>
    <mergeCell ref="M4:T4"/>
    <mergeCell ref="N5:O5"/>
    <mergeCell ref="R5:U5"/>
    <mergeCell ref="O3:R3"/>
    <mergeCell ref="L6:U6"/>
    <mergeCell ref="L8:Q8"/>
    <mergeCell ref="T8:U8"/>
    <mergeCell ref="L15:U15"/>
    <mergeCell ref="S20:U20"/>
    <mergeCell ref="L9:U9"/>
    <mergeCell ref="L10:U10"/>
    <mergeCell ref="L11:N11"/>
    <mergeCell ref="L16:U16"/>
    <mergeCell ref="M33:P33"/>
    <mergeCell ref="Q33:T33"/>
    <mergeCell ref="L20:N20"/>
    <mergeCell ref="A33:G33"/>
    <mergeCell ref="N35:U35"/>
    <mergeCell ref="U27:V27"/>
    <mergeCell ref="M29:T29"/>
    <mergeCell ref="K27:L27"/>
    <mergeCell ref="N27:O27"/>
    <mergeCell ref="P27:Q27"/>
    <mergeCell ref="S27:T27"/>
    <mergeCell ref="J25:N25"/>
    <mergeCell ref="P25:Q25"/>
    <mergeCell ref="S25:T25"/>
    <mergeCell ref="U25:V25"/>
    <mergeCell ref="M32:P32"/>
    <mergeCell ref="S22:U22"/>
    <mergeCell ref="J24:N24"/>
    <mergeCell ref="S24:U24"/>
    <mergeCell ref="S11:U11"/>
    <mergeCell ref="L12:N12"/>
    <mergeCell ref="S12:U12"/>
    <mergeCell ref="L13:N13"/>
    <mergeCell ref="R13:U13"/>
    <mergeCell ref="J21:U21"/>
  </mergeCells>
  <conditionalFormatting sqref="J22:N22">
    <cfRule type="expression" dxfId="10" priority="3">
      <formula>$S$3="#3"</formula>
    </cfRule>
  </conditionalFormatting>
  <conditionalFormatting sqref="J21:U21">
    <cfRule type="expression" dxfId="9" priority="1">
      <formula>$S$3&lt;&gt;"#3"</formula>
    </cfRule>
  </conditionalFormatting>
  <conditionalFormatting sqref="K27:V27">
    <cfRule type="expression" dxfId="8" priority="2">
      <formula>$S$3="#3"</formula>
    </cfRule>
  </conditionalFormatting>
  <conditionalFormatting sqref="P22:U24">
    <cfRule type="expression" dxfId="7" priority="4">
      <formula>$S$3="#3"</formula>
    </cfRule>
  </conditionalFormatting>
  <printOptions horizontalCentered="1" verticalCentered="1"/>
  <pageMargins left="0.2" right="0.2" top="0.2" bottom="0.2" header="0.51" footer="0.51"/>
  <pageSetup scale="44" orientation="landscape" horizontalDpi="4294967292" verticalDpi="4294967292"/>
  <ignoredErrors>
    <ignoredError sqref="L20" unlockedFormula="1"/>
  </ignoredErrors>
  <drawing r:id="rId1"/>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6F177-8884-5D4F-9CF4-14229878B446}">
  <sheetPr>
    <pageSetUpPr fitToPage="1"/>
  </sheetPr>
  <dimension ref="A1:V40"/>
  <sheetViews>
    <sheetView showGridLines="0" topLeftCell="G1" zoomScale="92" zoomScaleNormal="92" zoomScalePageLayoutView="92" workbookViewId="0">
      <selection activeCell="L8" sqref="L8:Q8"/>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customWidth="1"/>
    <col min="9" max="9" width="12" customWidth="1"/>
    <col min="12" max="14" width="9" customWidth="1"/>
    <col min="18" max="18" width="8.83203125" customWidth="1"/>
    <col min="19" max="19" width="9" customWidth="1"/>
  </cols>
  <sheetData>
    <row r="1" spans="1:22" ht="21" thickBot="1" x14ac:dyDescent="0.2">
      <c r="A1" s="123" t="s">
        <v>74</v>
      </c>
      <c r="B1" s="123"/>
      <c r="C1" s="123"/>
      <c r="D1" s="123"/>
      <c r="E1" s="123"/>
      <c r="F1" s="123"/>
      <c r="G1" s="123"/>
      <c r="H1" s="24" t="s">
        <v>29</v>
      </c>
    </row>
    <row r="2" spans="1:22" ht="33.75" customHeight="1" thickBot="1" x14ac:dyDescent="0.25">
      <c r="A2" s="65" t="s">
        <v>30</v>
      </c>
      <c r="B2" s="9" t="s">
        <v>3</v>
      </c>
      <c r="C2" s="9" t="s">
        <v>4</v>
      </c>
      <c r="D2" s="9" t="s">
        <v>25</v>
      </c>
      <c r="E2" s="9" t="s">
        <v>31</v>
      </c>
      <c r="F2" s="9" t="s">
        <v>59</v>
      </c>
      <c r="G2" s="65" t="s">
        <v>32</v>
      </c>
      <c r="H2" s="24" t="s">
        <v>29</v>
      </c>
      <c r="K2" s="127" t="s">
        <v>55</v>
      </c>
      <c r="L2" s="127"/>
      <c r="M2" s="127"/>
      <c r="N2" s="127"/>
      <c r="O2" s="127"/>
      <c r="P2" s="127"/>
      <c r="Q2" s="127"/>
      <c r="R2" s="127"/>
      <c r="S2" s="127"/>
      <c r="T2" s="127"/>
      <c r="U2" s="127"/>
    </row>
    <row r="3" spans="1:22" ht="36" customHeight="1" x14ac:dyDescent="0.45">
      <c r="A3" s="25"/>
      <c r="B3" s="26" t="str">
        <f>'Control Entry'!N54</f>
        <v/>
      </c>
      <c r="C3" s="26" t="str">
        <f>'Control Entry'!O54</f>
        <v/>
      </c>
      <c r="D3" s="27"/>
      <c r="E3" s="28" t="str">
        <f>IF(ISBLANK('Control Entry'!F54),"",'Control Entry'!F54)</f>
        <v/>
      </c>
      <c r="F3" s="85" t="str">
        <f>IF(ISBLANK('Control Entry'!I54),"",'Control Entry'!I54)</f>
        <v/>
      </c>
      <c r="G3" s="86"/>
      <c r="H3" s="24" t="s">
        <v>29</v>
      </c>
      <c r="K3" s="14"/>
      <c r="O3" s="112" t="s">
        <v>73</v>
      </c>
      <c r="P3" s="112"/>
      <c r="Q3" s="112"/>
      <c r="R3" s="112"/>
      <c r="S3" s="75" t="str">
        <f>IF(AND('Control Entry'!D41=0,'Control Entry'!D54&lt;&gt;0),"#2",IF('Control Entry'!D54=0,"","#4"))</f>
        <v/>
      </c>
      <c r="T3" s="76"/>
      <c r="U3" s="38"/>
    </row>
    <row r="4" spans="1:22" ht="36" customHeight="1" x14ac:dyDescent="0.2">
      <c r="A4" s="34" t="str">
        <f>IF(ISBLANK('Control Entry'!D54),"",'Control Entry'!D54)</f>
        <v/>
      </c>
      <c r="B4" s="35" t="str">
        <f>'Control Entry'!N54</f>
        <v/>
      </c>
      <c r="C4" s="35" t="str">
        <f>'Control Entry'!O54</f>
        <v/>
      </c>
      <c r="D4" s="36" t="str">
        <f>IF(ISBLANK('Control Entry'!E54),"",'Control Entry'!E54)</f>
        <v/>
      </c>
      <c r="E4" s="28" t="str">
        <f>IF(ISBLANK('Control Entry'!G54),"",'Control Entry'!G54)</f>
        <v/>
      </c>
      <c r="F4" s="85" t="str">
        <f>IF(ISBLANK('Control Entry'!J54),"",'Control Entry'!J54)</f>
        <v/>
      </c>
      <c r="G4" s="86"/>
      <c r="H4" s="24" t="s">
        <v>29</v>
      </c>
      <c r="K4" s="14"/>
      <c r="M4" s="109" t="str">
        <f>IF(ISBLANK(brevet),"",brevet&amp;" km Randonnée")</f>
        <v>600 km Randonnée</v>
      </c>
      <c r="N4" s="109"/>
      <c r="O4" s="109"/>
      <c r="P4" s="109"/>
      <c r="Q4" s="109"/>
      <c r="R4" s="109"/>
      <c r="S4" s="109"/>
      <c r="T4" s="109"/>
      <c r="U4" s="39"/>
    </row>
    <row r="5" spans="1:22" ht="36" customHeight="1" thickBot="1" x14ac:dyDescent="0.25">
      <c r="A5" s="29"/>
      <c r="B5" s="30" t="str">
        <f>'Control Entry'!N54</f>
        <v/>
      </c>
      <c r="C5" s="30" t="str">
        <f>'Control Entry'!O54</f>
        <v/>
      </c>
      <c r="D5" s="31"/>
      <c r="E5" s="32" t="str">
        <f>IF(ISBLANK('Control Entry'!H54),"",'Control Entry'!H54)</f>
        <v/>
      </c>
      <c r="F5" s="90" t="str">
        <f>IF(ISBLANK('Control Entry'!K54),"",'Control Entry'!K54)</f>
        <v/>
      </c>
      <c r="G5" s="89"/>
      <c r="H5" s="24" t="s">
        <v>29</v>
      </c>
      <c r="K5" s="14"/>
      <c r="M5" s="15"/>
      <c r="N5" s="108" t="s">
        <v>47</v>
      </c>
      <c r="O5" s="108"/>
      <c r="P5" s="52" t="str">
        <f>IF(ISBLANK(Brevet_Number),"",Brevet_Number)</f>
        <v>Perm 235</v>
      </c>
      <c r="Q5" s="53"/>
      <c r="R5" s="126" t="d">
        <f>IF(ISBLANK('Control Entry'!$B10),"",'Control Entry'!$B10)</f>
        <v>2023-05-25</v>
      </c>
      <c r="S5" s="126"/>
      <c r="T5" s="126"/>
      <c r="U5" s="126"/>
      <c r="V5" s="40"/>
    </row>
    <row r="6" spans="1:22" ht="36" customHeight="1" x14ac:dyDescent="0.2">
      <c r="A6" s="25"/>
      <c r="B6" s="26" t="str">
        <f>'Control Entry'!N55</f>
        <v/>
      </c>
      <c r="C6" s="26" t="str">
        <f>'Control Entry'!O55</f>
        <v/>
      </c>
      <c r="D6" s="33"/>
      <c r="E6" s="28" t="str">
        <f>IF(ISBLANK('Control Entry'!F55),"",'Control Entry'!F55)</f>
        <v/>
      </c>
      <c r="F6" s="85" t="str">
        <f>IF(ISBLANK('Control Entry'!I55),"",'Control Entry'!I55)</f>
        <v/>
      </c>
      <c r="G6" s="86"/>
      <c r="H6" s="24" t="s">
        <v>29</v>
      </c>
      <c r="K6" s="14"/>
      <c r="L6" s="115" t="str">
        <f>IF(ISBLANK(Brevet_Description),"",Brevet_Description)</f>
        <v>Permanent: 5-Ferries 600</v>
      </c>
      <c r="M6" s="115"/>
      <c r="N6" s="115"/>
      <c r="O6" s="115"/>
      <c r="P6" s="115"/>
      <c r="Q6" s="115"/>
      <c r="R6" s="115"/>
      <c r="S6" s="115"/>
      <c r="T6" s="115"/>
      <c r="U6" s="115"/>
    </row>
    <row r="7" spans="1:22" ht="36" customHeight="1" x14ac:dyDescent="0.2">
      <c r="A7" s="34" t="str">
        <f>IF(ISBLANK('Control Entry'!D55),"",'Control Entry'!D55)</f>
        <v/>
      </c>
      <c r="B7" s="35" t="str">
        <f>'Control Entry'!N55</f>
        <v/>
      </c>
      <c r="C7" s="35" t="str">
        <f>'Control Entry'!O55</f>
        <v/>
      </c>
      <c r="D7" s="36" t="str">
        <f>IF(ISBLANK('Control Entry'!E55),"",'Control Entry'!E55)</f>
        <v/>
      </c>
      <c r="E7" s="28" t="str">
        <f>IF(ISBLANK('Control Entry'!G55),"",'Control Entry'!G55)</f>
        <v/>
      </c>
      <c r="F7" s="85" t="str">
        <f>IF(ISBLANK('Control Entry'!J55),"",'Control Entry'!J55)</f>
        <v/>
      </c>
      <c r="G7" s="86"/>
      <c r="H7" s="24" t="s">
        <v>29</v>
      </c>
    </row>
    <row r="8" spans="1:22" ht="36" customHeight="1" thickBot="1" x14ac:dyDescent="0.25">
      <c r="A8" s="29"/>
      <c r="B8" s="30" t="str">
        <f>'Control Entry'!N55</f>
        <v/>
      </c>
      <c r="C8" s="30" t="str">
        <f>'Control Entry'!O55</f>
        <v/>
      </c>
      <c r="D8" s="31"/>
      <c r="E8" s="32" t="str">
        <f>IF(ISBLANK('Control Entry'!H55),"",'Control Entry'!H55)</f>
        <v/>
      </c>
      <c r="F8" s="90" t="str">
        <f>IF(ISBLANK('Control Entry'!K55),"",'Control Entry'!K55)</f>
        <v/>
      </c>
      <c r="G8" s="89"/>
      <c r="H8" s="24" t="s">
        <v>29</v>
      </c>
      <c r="J8" s="15" t="s">
        <v>34</v>
      </c>
      <c r="L8" s="128"/>
      <c r="M8" s="128"/>
      <c r="N8" s="128"/>
      <c r="O8" s="128"/>
      <c r="P8" s="128"/>
      <c r="Q8" s="128"/>
      <c r="S8" s="41" t="s">
        <v>46</v>
      </c>
      <c r="T8" s="135"/>
      <c r="U8" s="135"/>
    </row>
    <row r="9" spans="1:22" ht="36" customHeight="1" thickBot="1" x14ac:dyDescent="0.3">
      <c r="A9" s="25"/>
      <c r="B9" s="26" t="str">
        <f>'Control Entry'!N56</f>
        <v/>
      </c>
      <c r="C9" s="26" t="str">
        <f>'Control Entry'!O56</f>
        <v/>
      </c>
      <c r="D9" s="33"/>
      <c r="E9" s="28" t="str">
        <f>IF(ISBLANK('Control Entry'!F56),"",'Control Entry'!F56)</f>
        <v/>
      </c>
      <c r="F9" s="85" t="str">
        <f>IF(ISBLANK('Control Entry'!I56),"",'Control Entry'!I56)</f>
        <v/>
      </c>
      <c r="G9" s="86"/>
      <c r="H9" s="24" t="s">
        <v>29</v>
      </c>
      <c r="J9" s="15" t="s">
        <v>35</v>
      </c>
      <c r="K9" s="15"/>
      <c r="L9" s="117" t="s">
        <v>54</v>
      </c>
      <c r="M9" s="117"/>
      <c r="N9" s="117"/>
      <c r="O9" s="117"/>
      <c r="P9" s="117"/>
      <c r="Q9" s="117"/>
      <c r="R9" s="117"/>
      <c r="S9" s="117"/>
      <c r="T9" s="117"/>
      <c r="U9" s="117"/>
    </row>
    <row r="10" spans="1:22" ht="36" customHeight="1" thickBot="1" x14ac:dyDescent="0.3">
      <c r="A10" s="34" t="str">
        <f>IF(ISBLANK('Control Entry'!D56),"",'Control Entry'!D56)</f>
        <v/>
      </c>
      <c r="B10" s="35" t="str">
        <f>'Control Entry'!N56</f>
        <v/>
      </c>
      <c r="C10" s="35" t="str">
        <f>'Control Entry'!O56</f>
        <v/>
      </c>
      <c r="D10" s="36" t="str">
        <f>IF(ISBLANK('Control Entry'!E56),"",'Control Entry'!E56)</f>
        <v/>
      </c>
      <c r="E10" s="28" t="str">
        <f>IF(ISBLANK('Control Entry'!G56),"",'Control Entry'!G56)</f>
        <v/>
      </c>
      <c r="F10" s="85" t="str">
        <f>IF(ISBLANK('Control Entry'!J56),"",'Control Entry'!J56)</f>
        <v/>
      </c>
      <c r="G10" s="86"/>
      <c r="H10" s="24" t="s">
        <v>29</v>
      </c>
      <c r="J10" s="15"/>
      <c r="K10" s="15"/>
      <c r="L10" s="118"/>
      <c r="M10" s="118"/>
      <c r="N10" s="118"/>
      <c r="O10" s="118"/>
      <c r="P10" s="118"/>
      <c r="Q10" s="118"/>
      <c r="R10" s="118"/>
      <c r="S10" s="118"/>
      <c r="T10" s="118"/>
      <c r="U10" s="118"/>
    </row>
    <row r="11" spans="1:22" ht="36" customHeight="1" thickBot="1" x14ac:dyDescent="0.3">
      <c r="A11" s="29"/>
      <c r="B11" s="30" t="str">
        <f>'Control Entry'!N56</f>
        <v/>
      </c>
      <c r="C11" s="30" t="str">
        <f>'Control Entry'!O56</f>
        <v/>
      </c>
      <c r="D11" s="31"/>
      <c r="E11" s="32" t="str">
        <f>IF(ISBLANK('Control Entry'!H56),"",'Control Entry'!H56)</f>
        <v/>
      </c>
      <c r="F11" s="90" t="str">
        <f>IF(ISBLANK('Control Entry'!K56),"",'Control Entry'!K56)</f>
        <v/>
      </c>
      <c r="G11" s="89"/>
      <c r="H11" s="24" t="s">
        <v>29</v>
      </c>
      <c r="J11" s="15" t="s">
        <v>36</v>
      </c>
      <c r="K11" s="15"/>
      <c r="L11" s="118"/>
      <c r="M11" s="118"/>
      <c r="N11" s="118"/>
      <c r="O11" s="15"/>
      <c r="P11" s="15" t="s">
        <v>37</v>
      </c>
      <c r="Q11" s="15"/>
      <c r="R11" s="15"/>
      <c r="S11" s="122"/>
      <c r="T11" s="122"/>
      <c r="U11" s="122"/>
    </row>
    <row r="12" spans="1:22" ht="36" customHeight="1" thickBot="1" x14ac:dyDescent="0.3">
      <c r="A12" s="25"/>
      <c r="B12" s="26" t="str">
        <f>'Control Entry'!N57</f>
        <v/>
      </c>
      <c r="C12" s="26" t="str">
        <f>'Control Entry'!O57</f>
        <v/>
      </c>
      <c r="D12" s="33"/>
      <c r="E12" s="28" t="str">
        <f>IF(ISBLANK('Control Entry'!F57),"",'Control Entry'!F57)</f>
        <v/>
      </c>
      <c r="F12" s="85" t="str">
        <f>IF(ISBLANK('Control Entry'!I57),"",'Control Entry'!I57)</f>
        <v/>
      </c>
      <c r="G12" s="86"/>
      <c r="H12" s="24" t="s">
        <v>29</v>
      </c>
      <c r="J12" s="15" t="s">
        <v>38</v>
      </c>
      <c r="K12" s="15"/>
      <c r="L12" s="118"/>
      <c r="M12" s="118"/>
      <c r="N12" s="118"/>
      <c r="O12" s="15"/>
      <c r="P12" s="15" t="s">
        <v>39</v>
      </c>
      <c r="Q12" s="15"/>
      <c r="R12" s="15"/>
      <c r="S12" s="122"/>
      <c r="T12" s="122"/>
      <c r="U12" s="122"/>
    </row>
    <row r="13" spans="1:22" ht="36" customHeight="1" thickBot="1" x14ac:dyDescent="0.3">
      <c r="A13" s="34" t="str">
        <f>IF(ISBLANK('Control Entry'!D57),"",'Control Entry'!D57)</f>
        <v/>
      </c>
      <c r="B13" s="35" t="str">
        <f>'Control Entry'!N57</f>
        <v/>
      </c>
      <c r="C13" s="35" t="str">
        <f>'Control Entry'!O57</f>
        <v/>
      </c>
      <c r="D13" s="36" t="str">
        <f>IF(ISBLANK('Control Entry'!E57),"",'Control Entry'!E57)</f>
        <v/>
      </c>
      <c r="E13" s="28" t="str">
        <f>IF(ISBLANK('Control Entry'!G57),"",'Control Entry'!G57)</f>
        <v/>
      </c>
      <c r="F13" s="85" t="str">
        <f>IF(ISBLANK('Control Entry'!J57),"",'Control Entry'!J57)</f>
        <v/>
      </c>
      <c r="G13" s="86"/>
      <c r="H13" s="24" t="s">
        <v>29</v>
      </c>
      <c r="J13" s="15" t="s">
        <v>40</v>
      </c>
      <c r="L13" s="121"/>
      <c r="M13" s="121"/>
      <c r="N13" s="121"/>
      <c r="P13" s="15" t="s">
        <v>41</v>
      </c>
      <c r="Q13" s="15"/>
      <c r="R13" s="125"/>
      <c r="S13" s="125"/>
      <c r="T13" s="125"/>
      <c r="U13" s="125"/>
    </row>
    <row r="14" spans="1:22" ht="36" customHeight="1" thickBot="1" x14ac:dyDescent="0.25">
      <c r="A14" s="29"/>
      <c r="B14" s="30" t="str">
        <f>'Control Entry'!N57</f>
        <v/>
      </c>
      <c r="C14" s="30" t="str">
        <f>'Control Entry'!O57</f>
        <v/>
      </c>
      <c r="D14" s="31"/>
      <c r="E14" s="32" t="str">
        <f>IF(ISBLANK('Control Entry'!H57),"",'Control Entry'!H57)</f>
        <v/>
      </c>
      <c r="F14" s="90" t="str">
        <f>IF(ISBLANK('Control Entry'!K57),"",'Control Entry'!K57)</f>
        <v/>
      </c>
      <c r="G14" s="89"/>
      <c r="H14" s="24" t="s">
        <v>29</v>
      </c>
    </row>
    <row r="15" spans="1:22" ht="36" customHeight="1" x14ac:dyDescent="0.2">
      <c r="A15" s="25"/>
      <c r="B15" s="26" t="str">
        <f>'Control Entry'!N58</f>
        <v/>
      </c>
      <c r="C15" s="26" t="str">
        <f>'Control Entry'!O58</f>
        <v/>
      </c>
      <c r="D15" s="33"/>
      <c r="E15" s="28" t="str">
        <f>IF(ISBLANK('Control Entry'!F58),"",'Control Entry'!F58)</f>
        <v/>
      </c>
      <c r="F15" s="85" t="str">
        <f>IF(ISBLANK('Control Entry'!I58),"",'Control Entry'!I58)</f>
        <v/>
      </c>
      <c r="G15" s="86"/>
      <c r="H15" s="24" t="s">
        <v>29</v>
      </c>
      <c r="J15" s="15"/>
      <c r="L15" s="114" t="s">
        <v>58</v>
      </c>
      <c r="M15" s="114"/>
      <c r="N15" s="114"/>
      <c r="O15" s="114"/>
      <c r="P15" s="114"/>
      <c r="Q15" s="114"/>
      <c r="R15" s="114"/>
      <c r="S15" s="114"/>
      <c r="T15" s="114"/>
      <c r="U15" s="114"/>
    </row>
    <row r="16" spans="1:22" ht="36" customHeight="1" thickBot="1" x14ac:dyDescent="0.25">
      <c r="A16" s="34" t="str">
        <f>IF(ISBLANK('Control Entry'!D58),"",'Control Entry'!D58)</f>
        <v/>
      </c>
      <c r="B16" s="35" t="str">
        <f>'Control Entry'!N58</f>
        <v/>
      </c>
      <c r="C16" s="35" t="str">
        <f>'Control Entry'!O58</f>
        <v/>
      </c>
      <c r="D16" s="36" t="str">
        <f>IF(ISBLANK('Control Entry'!E58),"",'Control Entry'!E58)</f>
        <v/>
      </c>
      <c r="E16" s="28" t="str">
        <f>IF(ISBLANK('Control Entry'!G58),"",'Control Entry'!G58)</f>
        <v/>
      </c>
      <c r="F16" s="85" t="str">
        <f>IF(ISBLANK('Control Entry'!J58),"",'Control Entry'!J58)</f>
        <v/>
      </c>
      <c r="G16" s="86"/>
      <c r="H16" s="24" t="s">
        <v>29</v>
      </c>
      <c r="L16" s="142"/>
      <c r="M16" s="142"/>
      <c r="N16" s="142"/>
      <c r="O16" s="142"/>
      <c r="P16" s="142"/>
      <c r="Q16" s="142"/>
      <c r="R16" s="142"/>
      <c r="S16" s="142"/>
      <c r="T16" s="142"/>
      <c r="U16" s="142"/>
    </row>
    <row r="17" spans="1:22" ht="36" customHeight="1" thickBot="1" x14ac:dyDescent="0.25">
      <c r="A17" s="29"/>
      <c r="B17" s="30" t="str">
        <f>'Control Entry'!N58</f>
        <v/>
      </c>
      <c r="C17" s="30" t="str">
        <f>'Control Entry'!O58</f>
        <v/>
      </c>
      <c r="D17" s="31"/>
      <c r="E17" s="32" t="str">
        <f>IF(ISBLANK('Control Entry'!H58),"",'Control Entry'!H58)</f>
        <v/>
      </c>
      <c r="F17" s="90" t="str">
        <f>IF(ISBLANK('Control Entry'!K58),"",'Control Entry'!K58)</f>
        <v/>
      </c>
      <c r="G17" s="89"/>
      <c r="H17" s="24" t="s">
        <v>29</v>
      </c>
    </row>
    <row r="18" spans="1:22" ht="36" customHeight="1" x14ac:dyDescent="0.2">
      <c r="A18" s="25"/>
      <c r="B18" s="26" t="str">
        <f>'Control Entry'!N59</f>
        <v/>
      </c>
      <c r="C18" s="26" t="str">
        <f>'Control Entry'!O59</f>
        <v/>
      </c>
      <c r="D18" s="33"/>
      <c r="E18" s="28" t="str">
        <f>IF(ISBLANK('Control Entry'!F59),"",'Control Entry'!F59)</f>
        <v/>
      </c>
      <c r="F18" s="85" t="str">
        <f>IF(ISBLANK('Control Entry'!I59),"",'Control Entry'!I59)</f>
        <v/>
      </c>
      <c r="G18" s="86"/>
      <c r="H18" s="24" t="s">
        <v>29</v>
      </c>
    </row>
    <row r="19" spans="1:22" ht="36" customHeight="1" x14ac:dyDescent="0.2">
      <c r="A19" s="34" t="str">
        <f>IF(ISBLANK('Control Entry'!D59),"",'Control Entry'!D59)</f>
        <v/>
      </c>
      <c r="B19" s="35" t="str">
        <f>'Control Entry'!N59</f>
        <v/>
      </c>
      <c r="C19" s="35" t="str">
        <f>'Control Entry'!O59</f>
        <v/>
      </c>
      <c r="D19" s="36" t="str">
        <f>IF(ISBLANK('Control Entry'!E59),"",'Control Entry'!E59)</f>
        <v/>
      </c>
      <c r="E19" s="28" t="str">
        <f>IF(ISBLANK('Control Entry'!G59),"",'Control Entry'!G59)</f>
        <v/>
      </c>
      <c r="F19" s="85" t="str">
        <f>IF(ISBLANK('Control Entry'!J59),"",'Control Entry'!J59)</f>
        <v/>
      </c>
      <c r="G19" s="86"/>
      <c r="H19" s="24" t="s">
        <v>29</v>
      </c>
    </row>
    <row r="20" spans="1:22" ht="36" customHeight="1" thickBot="1" x14ac:dyDescent="0.25">
      <c r="A20" s="29"/>
      <c r="B20" s="30" t="str">
        <f>'Control Entry'!N59</f>
        <v/>
      </c>
      <c r="C20" s="30" t="str">
        <f>'Control Entry'!O59</f>
        <v/>
      </c>
      <c r="D20" s="31"/>
      <c r="E20" s="32" t="str">
        <f>IF(ISBLANK('Control Entry'!H59),"",'Control Entry'!H59)</f>
        <v/>
      </c>
      <c r="F20" s="90" t="str">
        <f>IF(ISBLANK('Control Entry'!K59),"",'Control Entry'!K59)</f>
        <v/>
      </c>
      <c r="G20" s="89"/>
      <c r="H20" s="24" t="s">
        <v>29</v>
      </c>
      <c r="J20" s="50" t="s">
        <v>44</v>
      </c>
      <c r="K20" s="50"/>
      <c r="L20" s="136" t="d">
        <f>IF(ISBLANK('Control Entry'!B12),"",'Control Entry'!B12)</f>
        <v>2023-05-25</v>
      </c>
      <c r="M20" s="136"/>
      <c r="N20" s="136"/>
      <c r="P20" s="15" t="s">
        <v>0</v>
      </c>
      <c r="Q20" s="15"/>
      <c r="S20" s="113" t="d">
        <f>IF(ISBLANK('Control Entry'!B13),"",'Control Entry'!B13)</f>
        <v>14:00:00.0000000000031950</v>
      </c>
      <c r="T20" s="113"/>
      <c r="U20" s="113"/>
    </row>
    <row r="21" spans="1:22" ht="36" customHeight="1" x14ac:dyDescent="0.2">
      <c r="A21" s="25"/>
      <c r="B21" s="26" t="str">
        <f>'Control Entry'!N60</f>
        <v/>
      </c>
      <c r="C21" s="26" t="str">
        <f>'Control Entry'!O60</f>
        <v/>
      </c>
      <c r="D21" s="33"/>
      <c r="E21" s="28" t="str">
        <f>IF(ISBLANK('Control Entry'!F60),"",'Control Entry'!F60)</f>
        <v/>
      </c>
      <c r="F21" s="85" t="str">
        <f>IF(ISBLANK('Control Entry'!I60),"",'Control Entry'!I60)</f>
        <v/>
      </c>
      <c r="G21" s="86"/>
      <c r="H21" s="24" t="s">
        <v>29</v>
      </c>
      <c r="J21" s="115" t="s">
        <v>90</v>
      </c>
      <c r="K21" s="115"/>
      <c r="L21" s="115"/>
      <c r="M21" s="115"/>
      <c r="N21" s="115"/>
      <c r="O21" s="115"/>
      <c r="P21" s="115"/>
      <c r="Q21" s="115"/>
      <c r="R21" s="115"/>
      <c r="S21" s="115"/>
      <c r="T21" s="115"/>
      <c r="U21" s="115"/>
    </row>
    <row r="22" spans="1:22" ht="36" customHeight="1" thickBot="1" x14ac:dyDescent="0.25">
      <c r="A22" s="34" t="str">
        <f>IF(ISBLANK('Control Entry'!D60),"",'Control Entry'!D60)</f>
        <v/>
      </c>
      <c r="B22" s="35" t="str">
        <f>'Control Entry'!N60</f>
        <v/>
      </c>
      <c r="C22" s="35" t="str">
        <f>'Control Entry'!O60</f>
        <v/>
      </c>
      <c r="D22" s="36" t="str">
        <f>IF(ISBLANK('Control Entry'!E60),"",'Control Entry'!E60)</f>
        <v/>
      </c>
      <c r="E22" s="28" t="str">
        <f>IF(ISBLANK('Control Entry'!G60),"",'Control Entry'!G60)</f>
        <v/>
      </c>
      <c r="F22" s="85" t="str">
        <f>IF(ISBLANK('Control Entry'!J60),"",'Control Entry'!J60)</f>
        <v/>
      </c>
      <c r="G22" s="86"/>
      <c r="H22" s="24" t="s">
        <v>29</v>
      </c>
      <c r="J22" s="15" t="s">
        <v>45</v>
      </c>
      <c r="K22" s="15"/>
      <c r="M22" s="116"/>
      <c r="N22" s="116"/>
      <c r="O22" s="116"/>
      <c r="P22" s="15" t="s">
        <v>1</v>
      </c>
      <c r="Q22" s="15"/>
      <c r="S22" s="116"/>
      <c r="T22" s="116"/>
      <c r="U22" s="116"/>
    </row>
    <row r="23" spans="1:22" ht="36" customHeight="1" thickBot="1" x14ac:dyDescent="0.25">
      <c r="A23" s="29"/>
      <c r="B23" s="30" t="str">
        <f>'Control Entry'!N60</f>
        <v/>
      </c>
      <c r="C23" s="30" t="str">
        <f>'Control Entry'!O60</f>
        <v/>
      </c>
      <c r="D23" s="31"/>
      <c r="E23" s="32" t="str">
        <f>IF(ISBLANK('Control Entry'!H60),"",'Control Entry'!H60)</f>
        <v/>
      </c>
      <c r="F23" s="90" t="str">
        <f>IF(ISBLANK('Control Entry'!K60),"",'Control Entry'!K60)</f>
        <v/>
      </c>
      <c r="G23" s="89"/>
      <c r="H23" s="24" t="s">
        <v>29</v>
      </c>
      <c r="J23" s="50"/>
      <c r="K23" s="50"/>
      <c r="L23" s="44"/>
      <c r="M23" s="44"/>
      <c r="N23" s="44"/>
      <c r="P23" s="15"/>
      <c r="Q23" s="15"/>
    </row>
    <row r="24" spans="1:22" ht="36" customHeight="1" thickBot="1" x14ac:dyDescent="0.25">
      <c r="A24" s="25"/>
      <c r="B24" s="26" t="str">
        <f>'Control Entry'!N61</f>
        <v/>
      </c>
      <c r="C24" s="26" t="str">
        <f>'Control Entry'!O61</f>
        <v/>
      </c>
      <c r="D24" s="33"/>
      <c r="E24" s="28" t="str">
        <f>IF(ISBLANK('Control Entry'!F61),"",'Control Entry'!F61)</f>
        <v/>
      </c>
      <c r="F24" s="85" t="str">
        <f>IF(ISBLANK('Control Entry'!I61),"",'Control Entry'!I61)</f>
        <v/>
      </c>
      <c r="G24" s="86"/>
      <c r="H24" s="24" t="s">
        <v>29</v>
      </c>
      <c r="J24" s="116"/>
      <c r="K24" s="116"/>
      <c r="L24" s="116"/>
      <c r="M24" s="116"/>
      <c r="N24" s="116"/>
      <c r="P24" s="15" t="s">
        <v>2</v>
      </c>
      <c r="Q24" s="15"/>
      <c r="S24" s="116"/>
      <c r="T24" s="116"/>
      <c r="U24" s="116"/>
    </row>
    <row r="25" spans="1:22" ht="36" customHeight="1" x14ac:dyDescent="0.2">
      <c r="A25" s="34" t="str">
        <f>IF(ISBLANK('Control Entry'!D61),"",'Control Entry'!D61)</f>
        <v/>
      </c>
      <c r="B25" s="35" t="str">
        <f>'Control Entry'!N61</f>
        <v/>
      </c>
      <c r="C25" s="35" t="str">
        <f>'Control Entry'!O61</f>
        <v/>
      </c>
      <c r="D25" s="36" t="str">
        <f>IF(ISBLANK('Control Entry'!E61),"",'Control Entry'!E61)</f>
        <v/>
      </c>
      <c r="E25" s="28" t="str">
        <f>IF(ISBLANK('Control Entry'!G61),"",'Control Entry'!G61)</f>
        <v/>
      </c>
      <c r="F25" s="85" t="str">
        <f>IF(ISBLANK('Control Entry'!J61),"",'Control Entry'!J61)</f>
        <v/>
      </c>
      <c r="G25" s="86"/>
      <c r="H25" s="24" t="s">
        <v>29</v>
      </c>
      <c r="J25" s="111" t="s">
        <v>17</v>
      </c>
      <c r="K25" s="111"/>
      <c r="L25" s="111"/>
      <c r="M25" s="111"/>
      <c r="N25" s="111"/>
      <c r="O25" s="46"/>
      <c r="P25" s="110"/>
      <c r="Q25" s="110"/>
      <c r="R25" s="46"/>
      <c r="S25" s="108"/>
      <c r="T25" s="108"/>
      <c r="U25" s="108"/>
      <c r="V25" s="108"/>
    </row>
    <row r="26" spans="1:22" ht="36" customHeight="1" thickBot="1" x14ac:dyDescent="0.25">
      <c r="A26" s="29"/>
      <c r="B26" s="30" t="str">
        <f>'Control Entry'!N61</f>
        <v/>
      </c>
      <c r="C26" s="30" t="str">
        <f>'Control Entry'!O61</f>
        <v/>
      </c>
      <c r="D26" s="31"/>
      <c r="E26" s="32" t="str">
        <f>IF(ISBLANK('Control Entry'!H61),"",'Control Entry'!H61)</f>
        <v/>
      </c>
      <c r="F26" s="90" t="str">
        <f>IF(ISBLANK('Control Entry'!K61),"",'Control Entry'!K61)</f>
        <v/>
      </c>
      <c r="G26" s="89"/>
      <c r="H26" s="24" t="s">
        <v>29</v>
      </c>
    </row>
    <row r="27" spans="1:22" ht="36" customHeight="1" x14ac:dyDescent="0.2">
      <c r="A27" s="25"/>
      <c r="B27" s="26" t="str">
        <f>'Control Entry'!N62</f>
        <v/>
      </c>
      <c r="C27" s="26" t="str">
        <f>'Control Entry'!O62</f>
        <v/>
      </c>
      <c r="D27" s="33"/>
      <c r="E27" s="28" t="str">
        <f>IF(ISBLANK('Control Entry'!F62),"",'Control Entry'!F62)</f>
        <v/>
      </c>
      <c r="F27" s="85" t="str">
        <f>IF(ISBLANK('Control Entry'!I62),"",'Control Entry'!I62)</f>
        <v/>
      </c>
      <c r="G27" s="86"/>
      <c r="H27" s="24" t="s">
        <v>29</v>
      </c>
      <c r="K27" s="109" t="s">
        <v>56</v>
      </c>
      <c r="L27" s="110"/>
      <c r="M27" s="45" t="s">
        <v>57</v>
      </c>
      <c r="N27" s="110" t="s">
        <v>49</v>
      </c>
      <c r="O27" s="110"/>
      <c r="P27" s="110" t="s">
        <v>50</v>
      </c>
      <c r="Q27" s="110"/>
      <c r="R27" s="46" t="s">
        <v>51</v>
      </c>
      <c r="S27" s="108" t="s">
        <v>52</v>
      </c>
      <c r="T27" s="108"/>
      <c r="U27" s="108" t="s">
        <v>53</v>
      </c>
      <c r="V27" s="108"/>
    </row>
    <row r="28" spans="1:22" ht="36" customHeight="1" x14ac:dyDescent="0.2">
      <c r="A28" s="34" t="str">
        <f>IF(ISBLANK('Control Entry'!D62),"",'Control Entry'!D62)</f>
        <v/>
      </c>
      <c r="B28" s="35" t="str">
        <f>'Control Entry'!N62</f>
        <v/>
      </c>
      <c r="C28" s="35" t="str">
        <f>'Control Entry'!O62</f>
        <v/>
      </c>
      <c r="D28" s="36" t="str">
        <f>IF(ISBLANK('Control Entry'!E62),"",'Control Entry'!E62)</f>
        <v/>
      </c>
      <c r="E28" s="28" t="str">
        <f>IF(ISBLANK('Control Entry'!G62),"",'Control Entry'!G62)</f>
        <v/>
      </c>
      <c r="F28" s="85" t="str">
        <f>IF(ISBLANK('Control Entry'!J62),"",'Control Entry'!J62)</f>
        <v/>
      </c>
      <c r="G28" s="86"/>
      <c r="H28" s="24" t="s">
        <v>29</v>
      </c>
    </row>
    <row r="29" spans="1:22" ht="36" customHeight="1" thickBot="1" x14ac:dyDescent="0.25">
      <c r="A29" s="29"/>
      <c r="B29" s="30" t="str">
        <f>'Control Entry'!N62</f>
        <v/>
      </c>
      <c r="C29" s="30" t="str">
        <f>'Control Entry'!O62</f>
        <v/>
      </c>
      <c r="D29" s="31"/>
      <c r="E29" s="32" t="str">
        <f>IF(ISBLANK('Control Entry'!H62),"",'Control Entry'!H62)</f>
        <v/>
      </c>
      <c r="F29" s="90" t="str">
        <f>IF(ISBLANK('Control Entry'!K62),"",'Control Entry'!K62)</f>
        <v/>
      </c>
      <c r="G29" s="89"/>
      <c r="H29" s="24" t="s">
        <v>29</v>
      </c>
      <c r="M29" s="137" t="s">
        <v>42</v>
      </c>
      <c r="N29" s="137"/>
      <c r="O29" s="137"/>
      <c r="P29" s="137"/>
      <c r="Q29" s="137"/>
      <c r="R29" s="137"/>
      <c r="S29" s="137"/>
      <c r="T29" s="137"/>
      <c r="U29" s="49"/>
    </row>
    <row r="30" spans="1:22" ht="36" customHeight="1" x14ac:dyDescent="0.2">
      <c r="A30" s="25"/>
      <c r="B30" s="26" t="str">
        <f>'Control Entry'!N63</f>
        <v/>
      </c>
      <c r="C30" s="26" t="str">
        <f>'Control Entry'!O63</f>
        <v/>
      </c>
      <c r="D30" s="33"/>
      <c r="E30" s="28" t="str">
        <f>IF(ISBLANK('Control Entry'!F63),"",'Control Entry'!F63)</f>
        <v/>
      </c>
      <c r="F30" s="85" t="str">
        <f>IF(ISBLANK('Control Entry'!I63),"",'Control Entry'!I63)</f>
        <v/>
      </c>
      <c r="G30" s="86"/>
      <c r="H30" s="24" t="s">
        <v>29</v>
      </c>
      <c r="M30" s="16"/>
      <c r="N30" s="18"/>
      <c r="O30" s="18"/>
      <c r="P30" s="19"/>
      <c r="Q30" s="16"/>
      <c r="R30" s="18"/>
      <c r="S30" s="18"/>
      <c r="T30" s="19"/>
    </row>
    <row r="31" spans="1:22" ht="36" customHeight="1" x14ac:dyDescent="0.2">
      <c r="A31" s="34" t="str">
        <f>IF(ISBLANK('Control Entry'!D63),"",'Control Entry'!D63)</f>
        <v/>
      </c>
      <c r="B31" s="35" t="str">
        <f>'Control Entry'!N63</f>
        <v/>
      </c>
      <c r="C31" s="35" t="str">
        <f>'Control Entry'!O63</f>
        <v/>
      </c>
      <c r="D31" s="36" t="str">
        <f>IF(ISBLANK('Control Entry'!E63),"",'Control Entry'!E63)</f>
        <v/>
      </c>
      <c r="E31" s="28" t="str">
        <f>IF(ISBLANK('Control Entry'!G63),"",'Control Entry'!G63)</f>
        <v/>
      </c>
      <c r="F31" s="85" t="str">
        <f>IF(ISBLANK('Control Entry'!J63),"",'Control Entry'!J63)</f>
        <v/>
      </c>
      <c r="G31" s="86"/>
      <c r="H31" s="24" t="s">
        <v>29</v>
      </c>
      <c r="M31" s="17"/>
      <c r="P31" s="20"/>
      <c r="Q31" s="17"/>
      <c r="T31" s="20"/>
    </row>
    <row r="32" spans="1:22" ht="36" customHeight="1" thickBot="1" x14ac:dyDescent="0.25">
      <c r="A32" s="29"/>
      <c r="B32" s="30" t="str">
        <f>'Control Entry'!N63</f>
        <v/>
      </c>
      <c r="C32" s="30" t="str">
        <f>'Control Entry'!O63</f>
        <v/>
      </c>
      <c r="D32" s="31"/>
      <c r="E32" s="32" t="str">
        <f>IF(ISBLANK('Control Entry'!H63),"",'Control Entry'!H63)</f>
        <v/>
      </c>
      <c r="F32" s="90" t="str">
        <f>IF(ISBLANK('Control Entry'!K63),"",'Control Entry'!K63)</f>
        <v/>
      </c>
      <c r="G32" s="89"/>
      <c r="H32" s="24" t="s">
        <v>29</v>
      </c>
      <c r="M32" s="129" t="s">
        <v>82</v>
      </c>
      <c r="N32" s="130"/>
      <c r="O32" s="130"/>
      <c r="P32" s="131"/>
      <c r="Q32" s="132" t="d">
        <f>'Control Entry'!B3</f>
        <v>2022-11-09</v>
      </c>
      <c r="R32" s="133"/>
      <c r="S32" s="133"/>
      <c r="T32" s="134"/>
    </row>
    <row r="33" spans="1:22" ht="36" customHeight="1" x14ac:dyDescent="0.2">
      <c r="A33" s="124" t="s">
        <v>43</v>
      </c>
      <c r="B33" s="124"/>
      <c r="C33" s="124"/>
      <c r="D33" s="124"/>
      <c r="E33" s="124"/>
      <c r="F33" s="124"/>
      <c r="G33" s="124"/>
      <c r="H33" s="37"/>
      <c r="I33" s="37"/>
      <c r="M33" s="138" t="s">
        <v>86</v>
      </c>
      <c r="N33" s="139"/>
      <c r="O33" s="139"/>
      <c r="P33" s="139"/>
      <c r="Q33" s="140" t="d">
        <f>'Control Entry'!B4</f>
        <v>2023-05-27</v>
      </c>
      <c r="R33" s="127"/>
      <c r="S33" s="127"/>
      <c r="T33" s="127"/>
      <c r="U33" s="82"/>
      <c r="V33" s="44"/>
    </row>
    <row r="34" spans="1:22" ht="36" customHeight="1" x14ac:dyDescent="0.2">
      <c r="A34"/>
      <c r="O34" s="15"/>
      <c r="P34" s="15"/>
      <c r="Q34" s="15"/>
      <c r="R34" s="42"/>
    </row>
    <row r="35" spans="1:22" ht="36" customHeight="1" x14ac:dyDescent="0.2">
      <c r="A35"/>
      <c r="N35" s="137"/>
      <c r="O35" s="137"/>
      <c r="P35" s="137"/>
      <c r="Q35" s="137"/>
      <c r="R35" s="137"/>
      <c r="S35" s="137"/>
      <c r="T35" s="137"/>
      <c r="U35" s="137"/>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m+5DxS5z0jGPz2enrJCRgFwjkf0y6S+KVRFuN1IjzuBtg7DxgRkCvJA9CD6YWcWRfvJNtgkjCl2dSguY7geJVQ==" saltValue="ged3XotTQX8HcL4AYG6aUg==" spinCount="100000" sheet="1" objects="1" scenarios="1" formatCells="0" selectLockedCells="1"/>
  <mergeCells count="42">
    <mergeCell ref="A33:G33"/>
    <mergeCell ref="M33:P33"/>
    <mergeCell ref="Q33:T33"/>
    <mergeCell ref="N35:U35"/>
    <mergeCell ref="K27:L27"/>
    <mergeCell ref="N27:O27"/>
    <mergeCell ref="P27:Q27"/>
    <mergeCell ref="S27:T27"/>
    <mergeCell ref="U27:V27"/>
    <mergeCell ref="M29:T29"/>
    <mergeCell ref="M32:P32"/>
    <mergeCell ref="Q32:T32"/>
    <mergeCell ref="J25:N25"/>
    <mergeCell ref="P25:Q25"/>
    <mergeCell ref="S25:T25"/>
    <mergeCell ref="U25:V25"/>
    <mergeCell ref="L12:N12"/>
    <mergeCell ref="S12:U12"/>
    <mergeCell ref="L13:N13"/>
    <mergeCell ref="R13:U13"/>
    <mergeCell ref="L15:U15"/>
    <mergeCell ref="L16:U16"/>
    <mergeCell ref="L20:N20"/>
    <mergeCell ref="S20:U20"/>
    <mergeCell ref="S22:U22"/>
    <mergeCell ref="J24:N24"/>
    <mergeCell ref="S24:U24"/>
    <mergeCell ref="M22:O22"/>
    <mergeCell ref="J21:U21"/>
    <mergeCell ref="L11:N11"/>
    <mergeCell ref="S11:U11"/>
    <mergeCell ref="A1:G1"/>
    <mergeCell ref="K2:U2"/>
    <mergeCell ref="O3:R3"/>
    <mergeCell ref="M4:T4"/>
    <mergeCell ref="N5:O5"/>
    <mergeCell ref="R5:U5"/>
    <mergeCell ref="L6:U6"/>
    <mergeCell ref="L8:Q8"/>
    <mergeCell ref="T8:U8"/>
    <mergeCell ref="L9:U9"/>
    <mergeCell ref="L10:U10"/>
  </mergeCells>
  <conditionalFormatting sqref="J22:O22">
    <cfRule type="expression" dxfId="6" priority="3">
      <formula>$S$3="#2"</formula>
    </cfRule>
    <cfRule type="expression" dxfId="5" priority="4">
      <formula>$S$3="#4"</formula>
    </cfRule>
  </conditionalFormatting>
  <conditionalFormatting sqref="J21:U21">
    <cfRule type="expression" dxfId="4" priority="2">
      <formula>AND($S$3&lt;&gt;"#2",$S$3&lt;&gt;"#4")</formula>
    </cfRule>
  </conditionalFormatting>
  <conditionalFormatting sqref="K27:V27">
    <cfRule type="expression" dxfId="3" priority="8">
      <formula>$S$3="#4"</formula>
    </cfRule>
    <cfRule type="expression" dxfId="2" priority="7">
      <formula>$S$3="#2"</formula>
    </cfRule>
  </conditionalFormatting>
  <conditionalFormatting sqref="P22:U24">
    <cfRule type="expression" dxfId="1" priority="6">
      <formula>$S$3="#4"</formula>
    </cfRule>
    <cfRule type="expression" dxfId="0" priority="5">
      <formula>$S$3="#2"</formula>
    </cfRule>
  </conditionalFormatting>
  <printOptions horizontalCentered="1" verticalCentered="1"/>
  <pageMargins left="0.2" right="0.2" top="0.2" bottom="0.2" header="0.51" footer="0.51"/>
  <pageSetup scale="44" orientation="landscape" horizontalDpi="4294967292" verticalDpi="4294967292"/>
  <drawing r:id="rId1"/>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30</vt:i4>
      </vt:variant>
    </vt:vector>
  </HeadingPairs>
  <TitlesOfParts>
    <vt:vector size="35" baseType="lpstr">
      <vt:lpstr>Control Entry</vt:lpstr>
      <vt:lpstr>Control Card #1</vt:lpstr>
      <vt:lpstr>Control Card #2</vt:lpstr>
      <vt:lpstr>Control Card #3</vt:lpstr>
      <vt:lpstr>Control Card #4</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#1'!Print_Titles</vt:lpstr>
      <vt:lpstr>'Control Card #2'!Print_Titles</vt:lpstr>
      <vt:lpstr>'Control Card #3'!Print_Titles</vt:lpstr>
      <vt:lpstr>'Control Card #4'!Print_Titles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Microsoft Office User</cp:lastModifiedBy>
  <cp:lastPrinted>2023-05-23T04:38:24Z</cp:lastPrinted>
  <dcterms:created xsi:type="dcterms:W3CDTF">1997-11-12T04:43:39Z</dcterms:created>
  <dcterms:modified xsi:type="dcterms:W3CDTF">2023-05-29T23:54:09Z</dcterms:modified>
</cp:coreProperties>
</file>